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hape\Dropbox\P - CBA SWITCH (EMA)\WP1 - Production Practices\1.1.4 - Business Cases\1. Clamp versus Zig-Zag\"/>
    </mc:Choice>
  </mc:AlternateContent>
  <xr:revisionPtr revIDLastSave="0" documentId="13_ncr:1_{BDBA755A-C5D1-41A9-B84B-DA82A8BBBFB6}" xr6:coauthVersionLast="45" xr6:coauthVersionMax="45" xr10:uidLastSave="{00000000-0000-0000-0000-000000000000}"/>
  <bookViews>
    <workbookView xWindow="-120" yWindow="-120" windowWidth="29040" windowHeight="15840" tabRatio="884" activeTab="1" xr2:uid="{00000000-000D-0000-FFFF-FFFF00000000}"/>
  </bookViews>
  <sheets>
    <sheet name="Read Me - Switch Project" sheetId="11" r:id="rId1"/>
    <sheet name="Read Me - Purpose + Disclaimer" sheetId="12" r:id="rId2"/>
    <sheet name="Read Me - Model Details" sheetId="1" r:id="rId3"/>
    <sheet name="Headline Inputs " sheetId="10" r:id="rId4"/>
    <sheet name="Operating Variables" sheetId="2" r:id="rId5"/>
    <sheet name="Cash Flow" sheetId="5" r:id="rId6"/>
    <sheet name="Business Case Evaluation" sheetId="6" r:id="rId7"/>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aluevx">42.314159</definedName>
    <definedName name="vertex42_copyright" hidden="1">"© 2015 Vertex42 LLC"</definedName>
    <definedName name="vertex42_id" hidden="1">"rental-cash-flow.xlsx"</definedName>
    <definedName name="vertex42_title" hidden="1">"Rental Property Cash Flow Analysis"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5" l="1"/>
  <c r="D31" i="5"/>
  <c r="D30" i="5"/>
  <c r="D29" i="5"/>
  <c r="C5" i="6" l="1"/>
  <c r="C11" i="6" l="1"/>
  <c r="C9" i="6"/>
  <c r="H17" i="2"/>
  <c r="H15" i="2"/>
  <c r="H14" i="2"/>
  <c r="D14" i="2" l="1"/>
  <c r="H7" i="2" l="1"/>
  <c r="D7" i="2"/>
  <c r="E13" i="10"/>
  <c r="E15" i="10" s="1"/>
  <c r="H21" i="2" l="1"/>
  <c r="D21" i="2"/>
  <c r="D17" i="2"/>
  <c r="D15" i="2"/>
  <c r="H10" i="2"/>
  <c r="D10" i="2"/>
  <c r="F13" i="10"/>
  <c r="D9" i="2"/>
  <c r="H8" i="2"/>
  <c r="D8" i="2"/>
  <c r="D73" i="2" s="1"/>
  <c r="D11" i="2"/>
  <c r="D24" i="2" s="1"/>
  <c r="D25" i="2" s="1"/>
  <c r="H9" i="2" l="1"/>
  <c r="F15" i="10"/>
  <c r="H11" i="2" s="1"/>
  <c r="H93" i="2" s="1"/>
  <c r="H34" i="5" s="1"/>
  <c r="H73" i="2"/>
  <c r="H26" i="5" s="1"/>
  <c r="H27" i="5"/>
  <c r="D16" i="5"/>
  <c r="D64" i="2"/>
  <c r="D66" i="2"/>
  <c r="H66" i="2"/>
  <c r="H24" i="5" s="1"/>
  <c r="H59" i="2"/>
  <c r="H21" i="5" s="1"/>
  <c r="H31" i="5"/>
  <c r="H30" i="5"/>
  <c r="H29" i="5"/>
  <c r="H32" i="5"/>
  <c r="D93" i="2"/>
  <c r="D34" i="5" s="1"/>
  <c r="D59" i="2"/>
  <c r="D21" i="5" s="1"/>
  <c r="E17" i="10"/>
  <c r="D16" i="2" s="1"/>
  <c r="D26" i="2" s="1"/>
  <c r="D27" i="2" s="1"/>
  <c r="F17" i="10"/>
  <c r="H16" i="2" s="1"/>
  <c r="H26" i="2" s="1"/>
  <c r="H24" i="2" l="1"/>
  <c r="H64" i="2"/>
  <c r="H23" i="5" s="1"/>
  <c r="D27" i="5"/>
  <c r="D26" i="5"/>
  <c r="H28" i="5"/>
  <c r="D28" i="5"/>
  <c r="H25" i="2"/>
  <c r="H16" i="5" s="1"/>
  <c r="H27" i="2"/>
  <c r="H34" i="2"/>
  <c r="H42" i="2" s="1"/>
  <c r="F31" i="10" s="1"/>
  <c r="D34" i="2"/>
  <c r="D41" i="2" s="1"/>
  <c r="D24" i="5"/>
  <c r="D23" i="5"/>
  <c r="E19" i="10"/>
  <c r="D18" i="2" s="1"/>
  <c r="D96" i="2" s="1"/>
  <c r="D35" i="5" s="1"/>
  <c r="F19" i="10"/>
  <c r="L10" i="5" l="1"/>
  <c r="M10" i="5" s="1"/>
  <c r="L11" i="5"/>
  <c r="D49" i="2"/>
  <c r="E30" i="10"/>
  <c r="H50" i="2"/>
  <c r="H19" i="5" s="1"/>
  <c r="H18" i="2"/>
  <c r="H96" i="2" s="1"/>
  <c r="H35" i="5" s="1"/>
  <c r="L12" i="5" s="1"/>
  <c r="M12" i="5" s="1"/>
  <c r="D9" i="5"/>
  <c r="D11" i="5" s="1"/>
  <c r="D40" i="5" s="1"/>
  <c r="L8" i="5"/>
  <c r="M8" i="5" s="1"/>
  <c r="H41" i="2"/>
  <c r="D18" i="5" l="1"/>
  <c r="M11" i="5"/>
  <c r="J7" i="10" s="1"/>
  <c r="H49" i="2"/>
  <c r="H18" i="5" s="1"/>
  <c r="F30" i="10"/>
  <c r="F32" i="10" s="1"/>
  <c r="H9" i="5"/>
  <c r="J10" i="10"/>
  <c r="H51" i="2" l="1"/>
  <c r="G30" i="10"/>
  <c r="J6" i="10" l="1"/>
  <c r="D42" i="2" l="1"/>
  <c r="E31" i="10" s="1"/>
  <c r="E32" i="10" s="1"/>
  <c r="G31" i="10" l="1"/>
  <c r="G32" i="10"/>
  <c r="D50" i="2"/>
  <c r="D51" i="2" s="1"/>
  <c r="H11" i="5"/>
  <c r="D19" i="5" l="1"/>
  <c r="L9" i="5" s="1"/>
  <c r="J8" i="10"/>
  <c r="L7" i="5"/>
  <c r="M7" i="5" s="1"/>
  <c r="H40" i="5"/>
  <c r="M9" i="5" l="1"/>
  <c r="J9" i="10" s="1"/>
  <c r="G11" i="6"/>
  <c r="F9" i="6"/>
  <c r="H11" i="6"/>
  <c r="G9" i="6"/>
  <c r="E11" i="6"/>
  <c r="D11" i="6"/>
  <c r="H9" i="6"/>
  <c r="F11" i="6"/>
  <c r="E9" i="6"/>
  <c r="D9" i="6"/>
  <c r="D37" i="5"/>
  <c r="D41" i="5" s="1"/>
  <c r="D42" i="5" s="1"/>
  <c r="J11" i="10"/>
  <c r="H37" i="5"/>
  <c r="I11" i="6" l="1"/>
  <c r="I9" i="6"/>
  <c r="C16" i="6"/>
  <c r="C15" i="6"/>
  <c r="C14" i="6"/>
  <c r="C21" i="6"/>
  <c r="C20" i="6"/>
  <c r="C19" i="6"/>
  <c r="H41" i="5"/>
  <c r="H42" i="5" s="1"/>
  <c r="L13" i="5" s="1"/>
  <c r="M13" i="5" s="1"/>
  <c r="O30" i="10" l="1"/>
  <c r="O31" i="10"/>
  <c r="O32" i="10"/>
  <c r="K30" i="10"/>
  <c r="K32" i="10"/>
  <c r="K31" i="10"/>
  <c r="J5" i="10" l="1"/>
</calcChain>
</file>

<file path=xl/sharedStrings.xml><?xml version="1.0" encoding="utf-8"?>
<sst xmlns="http://schemas.openxmlformats.org/spreadsheetml/2006/main" count="561" uniqueCount="224">
  <si>
    <t>Payback in Years</t>
  </si>
  <si>
    <t>%</t>
  </si>
  <si>
    <t>ZAR</t>
  </si>
  <si>
    <t>UoM</t>
  </si>
  <si>
    <t>Value</t>
  </si>
  <si>
    <t>Mj/kg</t>
  </si>
  <si>
    <t>kg</t>
  </si>
  <si>
    <t>ZAR/tonne</t>
  </si>
  <si>
    <t>Equal to the initial investment divided by the annual cash flow. The shorter the payback period, the quicker an organization can achieve financial benefits.</t>
  </si>
  <si>
    <t>Equal to the difference of the initial investment and the value of the cash inflows over time considering a rate of return and the time value of money. A positive value is a sign the project will return financial benefits to the organization.</t>
  </si>
  <si>
    <t>Equal to the ratio of present value of cash inflows to the initial investment.  A ratio of greater than 1 is a sign that the project will return financial benefits to the organization.</t>
  </si>
  <si>
    <t>Total Annual Operating Expense</t>
  </si>
  <si>
    <t>Total Annual Operating Income</t>
  </si>
  <si>
    <t>Utilities</t>
  </si>
  <si>
    <t>Labour</t>
  </si>
  <si>
    <t xml:space="preserve">   - Electricity</t>
  </si>
  <si>
    <t xml:space="preserve">   - Water</t>
  </si>
  <si>
    <t>MJ</t>
  </si>
  <si>
    <t>Total</t>
  </si>
  <si>
    <t>Fueling Split %</t>
  </si>
  <si>
    <t>Firing Energy</t>
  </si>
  <si>
    <t xml:space="preserve">    - Monthly production units</t>
  </si>
  <si>
    <t xml:space="preserve">   -  Net setting into kiln</t>
  </si>
  <si>
    <t xml:space="preserve">   -  Exepected waste (fired)</t>
  </si>
  <si>
    <t xml:space="preserve">   -  Expected waste (Drying)</t>
  </si>
  <si>
    <t>NCV of Fuel</t>
  </si>
  <si>
    <t>Unit Selling Price</t>
  </si>
  <si>
    <t xml:space="preserve">    - Brick packers and sorters</t>
  </si>
  <si>
    <t xml:space="preserve">    - Machine operators</t>
  </si>
  <si>
    <t xml:space="preserve">   -  Secretary</t>
  </si>
  <si>
    <t xml:space="preserve">   -  General manager / Factory manager</t>
  </si>
  <si>
    <t>Assumed Labour unit costs</t>
  </si>
  <si>
    <t>Assumed Fuel Pricing</t>
  </si>
  <si>
    <t>No.</t>
  </si>
  <si>
    <t>No</t>
  </si>
  <si>
    <t xml:space="preserve">    - Monthly operating days</t>
  </si>
  <si>
    <t>ZAR/brick</t>
  </si>
  <si>
    <t>Assumed clay price</t>
  </si>
  <si>
    <t xml:space="preserve">   - Cost of clay</t>
  </si>
  <si>
    <t>ZAR/m3</t>
  </si>
  <si>
    <t>MJ/kg</t>
  </si>
  <si>
    <t>tonnes</t>
  </si>
  <si>
    <t>kWh</t>
  </si>
  <si>
    <t>Assumed Utilities costs</t>
  </si>
  <si>
    <t>litres</t>
  </si>
  <si>
    <t>ZAR/kWh</t>
  </si>
  <si>
    <t>ZAR/kl</t>
  </si>
  <si>
    <t>ZAR/hour</t>
  </si>
  <si>
    <t>ZAR/month</t>
  </si>
  <si>
    <t>Comments</t>
  </si>
  <si>
    <t>Zig-Zag Kiln</t>
  </si>
  <si>
    <t xml:space="preserve">Fuel </t>
  </si>
  <si>
    <t>Clamp Kiln</t>
  </si>
  <si>
    <t xml:space="preserve">Clay </t>
  </si>
  <si>
    <t>Y0</t>
  </si>
  <si>
    <t>Totals</t>
  </si>
  <si>
    <t>Profitability Index</t>
  </si>
  <si>
    <t>Discount Rate</t>
  </si>
  <si>
    <t>Annual Operating Income</t>
  </si>
  <si>
    <t>Annual Operating Expenses</t>
  </si>
  <si>
    <t>Revenue increase (Brick Sales)</t>
  </si>
  <si>
    <t>Diesel</t>
  </si>
  <si>
    <t>Litres</t>
  </si>
  <si>
    <t xml:space="preserve">   - Price</t>
  </si>
  <si>
    <t>ZAR/litre</t>
  </si>
  <si>
    <t xml:space="preserve">   - Combined </t>
  </si>
  <si>
    <t>Clamp</t>
  </si>
  <si>
    <t>Zig-Zag</t>
  </si>
  <si>
    <t>Headline Inputs</t>
  </si>
  <si>
    <t>Average brick selling price per unit</t>
  </si>
  <si>
    <t>m3</t>
  </si>
  <si>
    <t>Performance</t>
  </si>
  <si>
    <t>Variables</t>
  </si>
  <si>
    <t xml:space="preserve">% </t>
  </si>
  <si>
    <t>Net Setting into Kiln</t>
  </si>
  <si>
    <t>days</t>
  </si>
  <si>
    <t>Monthly Operating days</t>
  </si>
  <si>
    <t>Operating months per year</t>
  </si>
  <si>
    <t>months</t>
  </si>
  <si>
    <t>Annual green brick production</t>
  </si>
  <si>
    <t>Annual Saleable bricks</t>
  </si>
  <si>
    <t>Waste (firing)</t>
  </si>
  <si>
    <t>Monthly green brick production</t>
  </si>
  <si>
    <t xml:space="preserve">    - Annual operating months</t>
  </si>
  <si>
    <t xml:space="preserve"> Brick Production</t>
  </si>
  <si>
    <t>Annual Net Good Saleable</t>
  </si>
  <si>
    <t xml:space="preserve">    - Average brick selling price</t>
  </si>
  <si>
    <t xml:space="preserve">    - Annual required Total Firing Energy</t>
  </si>
  <si>
    <t xml:space="preserve">   - Average annual consumption</t>
  </si>
  <si>
    <t xml:space="preserve">   - Average monthly consumption</t>
  </si>
  <si>
    <t xml:space="preserve">    - Annual electricity consumption</t>
  </si>
  <si>
    <t xml:space="preserve">    - Annual water consumption</t>
  </si>
  <si>
    <t>Brick Production</t>
  </si>
  <si>
    <t xml:space="preserve">    - Sales</t>
  </si>
  <si>
    <t xml:space="preserve">    - Annual operating hours per employee</t>
  </si>
  <si>
    <t xml:space="preserve">    - Average electricity tarrif (municipal)</t>
  </si>
  <si>
    <t xml:space="preserve">    - Average water tarrif (municipal)</t>
  </si>
  <si>
    <t>years</t>
  </si>
  <si>
    <t>Revenue (brick sales)</t>
  </si>
  <si>
    <t>Cost of clay</t>
  </si>
  <si>
    <t>Cost of utilities (electricity and water)</t>
  </si>
  <si>
    <t>% Change</t>
  </si>
  <si>
    <t>Financials</t>
  </si>
  <si>
    <t>Net Present Value (NPV)</t>
  </si>
  <si>
    <t>Internal Rate of Return (IRR)</t>
  </si>
  <si>
    <t>Payback period</t>
  </si>
  <si>
    <t>Model Components</t>
  </si>
  <si>
    <t xml:space="preserve"> </t>
  </si>
  <si>
    <t>Glossary</t>
  </si>
  <si>
    <t>Waste (Drying)</t>
  </si>
  <si>
    <t>Daily Production  (Green bricks)</t>
  </si>
  <si>
    <t xml:space="preserve">    - Specific firing energy </t>
  </si>
  <si>
    <t xml:space="preserve">    - Annual production (green bricks)</t>
  </si>
  <si>
    <t xml:space="preserve">    - Daily production (green bricks)</t>
  </si>
  <si>
    <t>kWh/kg</t>
  </si>
  <si>
    <t xml:space="preserve">    - Electricity Consumption </t>
  </si>
  <si>
    <t>litres/kg</t>
  </si>
  <si>
    <t>It is assumed that in the case of the clamp drying is conducted in the open air and for the zig-zag drying occurs in the kiln</t>
  </si>
  <si>
    <t>This is an assumed amount for all mobile machinery on site including clay extraction, brick handeling and transportation</t>
  </si>
  <si>
    <t xml:space="preserve">   -  Accountant</t>
  </si>
  <si>
    <t xml:space="preserve">   -  Sales personnel</t>
  </si>
  <si>
    <t xml:space="preserve">   -  Accountant/Book keeper</t>
  </si>
  <si>
    <t xml:space="preserve">    - Team leaders/shift supervisors</t>
  </si>
  <si>
    <t>It is assumed that the factories only operate for half the month in December and January, hence there is no production for 1 full month per year</t>
  </si>
  <si>
    <t xml:space="preserve">    - Total clay mass to be fired</t>
  </si>
  <si>
    <t xml:space="preserve">    - Clay mass consumed (green brick production)</t>
  </si>
  <si>
    <t xml:space="preserve">    - Clay volume consumed (green brick production)</t>
  </si>
  <si>
    <t xml:space="preserve">    - Total clay volume to be fired</t>
  </si>
  <si>
    <t xml:space="preserve">   -  Weight reduction after drying</t>
  </si>
  <si>
    <t>This is not the amount of clay mined, but the amount consumed in the production of green bricks</t>
  </si>
  <si>
    <t xml:space="preserve">Raw Materials </t>
  </si>
  <si>
    <t xml:space="preserve">   - Clay </t>
  </si>
  <si>
    <t xml:space="preserve">Cost of labour </t>
  </si>
  <si>
    <t>Business Case Model - Switching from a Clamp Kiln to a Zig-Zag kiln</t>
  </si>
  <si>
    <t xml:space="preserve">    - Average Water Consumption </t>
  </si>
  <si>
    <t xml:space="preserve">    - General Workers (packers, sorters, pallet removers, cleaners)</t>
  </si>
  <si>
    <t>EBITDA</t>
  </si>
  <si>
    <t>A company's earnings before interest, taxes, depreciation, and amortization (EBITDA) is an accounting measure calculated using a company's earnings, before interest expenses, taxes, depreciation, and amortization are subtracted, as a proxy for a company's current operating profitability.</t>
  </si>
  <si>
    <t>Production Cost Savings</t>
  </si>
  <si>
    <t>Fuel Savings Only</t>
  </si>
  <si>
    <t>Annual GHG Emissions</t>
  </si>
  <si>
    <t>Internal Fuel Consumption</t>
  </si>
  <si>
    <t>Firing Fuel Fuel Consumption</t>
  </si>
  <si>
    <t xml:space="preserve">   - Total annual fuel consumption</t>
  </si>
  <si>
    <t>GJ</t>
  </si>
  <si>
    <t>tCO2e</t>
  </si>
  <si>
    <t>Total emissions per annum</t>
  </si>
  <si>
    <t xml:space="preserve">   -  Brick weight (dry- unfired)</t>
  </si>
  <si>
    <t xml:space="preserve">   -  Brick weight (wet - extrdued)</t>
  </si>
  <si>
    <t>Coal (Duff)</t>
  </si>
  <si>
    <t>Coal (Nuts)</t>
  </si>
  <si>
    <t xml:space="preserve">    - Body</t>
  </si>
  <si>
    <t xml:space="preserve">    - Firing </t>
  </si>
  <si>
    <t xml:space="preserve">   - Coal (Duff)</t>
  </si>
  <si>
    <t xml:space="preserve">   - Coal (Nuts)</t>
  </si>
  <si>
    <t>5 day work week with only one 9-hour shift. Factories do not operate on Sundays and only operate 2 Saturdays in a month</t>
  </si>
  <si>
    <t>Based on LCA. This represents kWh consumed per kg of fired brick</t>
  </si>
  <si>
    <t>Based on LCA. This represents litres consumed per kg of fired brick</t>
  </si>
  <si>
    <t>Eventhough factory closes for half the month in December and half the month of January (i.e. 1 month), workers still get paid for that full month (i.e. 12 months of work)</t>
  </si>
  <si>
    <t xml:space="preserve">   - Body</t>
  </si>
  <si>
    <t xml:space="preserve">   - Firing</t>
  </si>
  <si>
    <r>
      <rPr>
        <b/>
        <i/>
        <sz val="12"/>
        <color theme="1"/>
        <rFont val="Calibri"/>
        <family val="2"/>
        <scheme val="minor"/>
      </rPr>
      <t>Cash Flow Sheet</t>
    </r>
    <r>
      <rPr>
        <i/>
        <sz val="12"/>
        <color theme="1"/>
        <rFont val="Calibri"/>
        <family val="2"/>
        <scheme val="minor"/>
      </rPr>
      <t xml:space="preserve">: The cash flow sheet shows an analysis of the revenue, costs and profit of the current clamp operation against the prospective zig-zag operation </t>
    </r>
  </si>
  <si>
    <t>Brick weight (extruded)</t>
  </si>
  <si>
    <t xml:space="preserve">Level of brick perforation </t>
  </si>
  <si>
    <t>Price of waste product</t>
  </si>
  <si>
    <t>Operating Variables</t>
  </si>
  <si>
    <t>Annual Cash Flow</t>
  </si>
  <si>
    <t>Technology Comparison</t>
  </si>
  <si>
    <t>Business Case Evaluation</t>
  </si>
  <si>
    <t>Fuel Savings Only + Additional Sales Revenue</t>
  </si>
  <si>
    <t>Cost of fuel (production process)</t>
  </si>
  <si>
    <t>Evaluation of Investment based only on fuel savings</t>
  </si>
  <si>
    <t>Evaluation of Investment based on fuel savings and additional sales revenue</t>
  </si>
  <si>
    <t xml:space="preserve">Annual Savings </t>
  </si>
  <si>
    <t>Materials</t>
  </si>
  <si>
    <t>Operating Profit (EBITDA)</t>
  </si>
  <si>
    <t>Annual Operating Profit</t>
  </si>
  <si>
    <t xml:space="preserve">Expected Annual Operating Profit </t>
  </si>
  <si>
    <t>Business Case Results</t>
  </si>
  <si>
    <t>Operational Performance (Gains/Losses)</t>
  </si>
  <si>
    <r>
      <rPr>
        <b/>
        <i/>
        <sz val="12"/>
        <color theme="1"/>
        <rFont val="Calibri"/>
        <family val="2"/>
        <scheme val="minor"/>
      </rPr>
      <t>Operational Performance (Gains/Losses)</t>
    </r>
    <r>
      <rPr>
        <i/>
        <sz val="12"/>
        <color theme="1"/>
        <rFont val="Calibri"/>
        <family val="2"/>
        <scheme val="minor"/>
      </rPr>
      <t>: The graph compares the operational performance of the zig-zag kiln, in terms of operational costs, to the performance of the current clamp kiln, which is used as the base (0%).</t>
    </r>
  </si>
  <si>
    <r>
      <rPr>
        <b/>
        <i/>
        <sz val="12"/>
        <color theme="1"/>
        <rFont val="Calibri"/>
        <family val="2"/>
        <scheme val="minor"/>
      </rPr>
      <t xml:space="preserve">Business Case Evaluation </t>
    </r>
    <r>
      <rPr>
        <i/>
        <sz val="12"/>
        <color theme="1"/>
        <rFont val="Calibri"/>
        <family val="2"/>
        <scheme val="minor"/>
      </rPr>
      <t>: The business case is evaluated in terms of the operational savings achievable (in ZAR) as a result of the investment into a zig-zag kiln against the capital outlay for the investment, over a 5-year period</t>
    </r>
  </si>
  <si>
    <t>The Internal rate of return (IRR) is the interest rate at which the net present value of all the cash flows (both positive and negative) from a project or investment equal zero. Internal rate of return is used to evaluate the attractiveness of a project or investment.</t>
  </si>
  <si>
    <t>Ratio</t>
  </si>
  <si>
    <r>
      <rPr>
        <b/>
        <i/>
        <sz val="12"/>
        <color theme="1"/>
        <rFont val="Calibri"/>
        <family val="2"/>
        <scheme val="minor"/>
      </rPr>
      <t>Business Case Evaluation Sheet</t>
    </r>
    <r>
      <rPr>
        <i/>
        <sz val="12"/>
        <color theme="1"/>
        <rFont val="Calibri"/>
        <family val="2"/>
        <scheme val="minor"/>
      </rPr>
      <t>: This sheet evaluates the investment into the zig-zag kiln against the main operational savings/benefits anticpated to result from the investment</t>
    </r>
  </si>
  <si>
    <t>Annual Quantity of Fuel Required</t>
  </si>
  <si>
    <t>Annual Raw Materials (Clay)</t>
  </si>
  <si>
    <t>Annual Fuel Energy Required</t>
  </si>
  <si>
    <t>Annual Diesel Consumption</t>
  </si>
  <si>
    <t>Clamp Kiln Operation</t>
  </si>
  <si>
    <t>Zig-Zag Kiln Operation</t>
  </si>
  <si>
    <t>Assumed Annual Utilities</t>
  </si>
  <si>
    <t>Assumed Labour Profile</t>
  </si>
  <si>
    <t xml:space="preserve">    - Pallet capacity (green bricks)</t>
  </si>
  <si>
    <t xml:space="preserve">    - Number of pallets required (green bricks)</t>
  </si>
  <si>
    <t xml:space="preserve">    - Number of times pallets can be re-used (green bricks)</t>
  </si>
  <si>
    <t xml:space="preserve">    - Pallet capacity (delivery - saleable bricks)</t>
  </si>
  <si>
    <t xml:space="preserve">    - Number of pallets required (delivery - saleable bricks)</t>
  </si>
  <si>
    <t xml:space="preserve">    - Number of times pallets can be re-used (delivery - saleable bricks)</t>
  </si>
  <si>
    <t>bricks/pallet</t>
  </si>
  <si>
    <t xml:space="preserve">    - Pallet cost (green bricks)</t>
  </si>
  <si>
    <t xml:space="preserve">    - Pallet cost (delivery - saleable bricks)</t>
  </si>
  <si>
    <t>ZAR/Pallet</t>
  </si>
  <si>
    <t xml:space="preserve">    - Pallets (green bricks)</t>
  </si>
  <si>
    <t xml:space="preserve">    - Pallets (delivery - saleable bricks)</t>
  </si>
  <si>
    <t>Materials (Pallets)</t>
  </si>
  <si>
    <t>Cost of materials (Pallets)</t>
  </si>
  <si>
    <t>Promoting Inclusive Sustainable Practices in the South African Clay Brick Sector</t>
  </si>
  <si>
    <r>
      <rPr>
        <b/>
        <i/>
        <sz val="14"/>
        <color theme="1"/>
        <rFont val="Calibri"/>
        <family val="2"/>
        <scheme val="minor"/>
      </rPr>
      <t>About</t>
    </r>
    <r>
      <rPr>
        <i/>
        <sz val="14"/>
        <color theme="1"/>
        <rFont val="Calibri"/>
        <family val="2"/>
        <scheme val="minor"/>
      </rPr>
      <t>: The SWITCH Africa Green project” Promoting Inclusive Sustainable Practices in the South African Clay Brick Sector” was initiated in 2018 and aims to promote sustainable practices in the South African clay brick sector. The project is co-funded by the European Union and executed jointly by The Clay Brick Association of Southern Africa (CBA), EcoMetrix Africa (EMA) and Partners for Innovation (PfI).</t>
    </r>
  </si>
  <si>
    <r>
      <rPr>
        <b/>
        <i/>
        <sz val="14"/>
        <color theme="1"/>
        <rFont val="Calibri"/>
        <family val="2"/>
        <scheme val="minor"/>
      </rPr>
      <t>Project Structure</t>
    </r>
    <r>
      <rPr>
        <i/>
        <sz val="14"/>
        <color theme="1"/>
        <rFont val="Calibri"/>
        <family val="2"/>
        <scheme val="minor"/>
      </rPr>
      <t>: The project comprises four work packages (WPs) and each of these packages consist of objectives which collectively form the framework for realising the main aim of the project.                                                                                                                                                                                                                                                                                                                     WP1 - Sustainable Clay brick Production Practices                                                                                                                                                                                                                                         WP2 - Sustainable Building Practices                                                                                                                                                                                                                                                                                 WP3 - Sector Based Sustainability Monitoring and Reporting                                                                                                                                                                                                                    WP4 - Informal Brick Maing Sustainable Consumption and Production (SCP) Awareness</t>
    </r>
  </si>
  <si>
    <r>
      <rPr>
        <b/>
        <i/>
        <sz val="14"/>
        <color theme="1"/>
        <rFont val="Calibri"/>
        <family val="2"/>
        <scheme val="minor"/>
      </rPr>
      <t>Business Cases</t>
    </r>
    <r>
      <rPr>
        <i/>
        <sz val="14"/>
        <color theme="1"/>
        <rFont val="Calibri"/>
        <family val="2"/>
        <scheme val="minor"/>
      </rPr>
      <t>: As part of WP1, three (3) sustainability good practice business cases have been developed. The aim of these business cases is to assist clay brick producers to evaluate the financial feasibility of investments that can be made into various measures which can enhance the sustainability of their production processes. The 3 business cases which have been developed include: (1) Technology switch from a clamp kiln to a zig-zag kiln, (2) de-materialisation (coring of the clay brick at extrusion) and (3) waste symbiosis (adding waste as a material filler and/or addition of energy to the clay mix).These business cases will then be further developed, with prospective producers who have the the potential to implement these measures, in order to access relevent sustainability funding and financing instruments</t>
    </r>
  </si>
  <si>
    <r>
      <rPr>
        <b/>
        <i/>
        <sz val="12"/>
        <color theme="1"/>
        <rFont val="Calibri"/>
        <family val="2"/>
        <scheme val="minor"/>
      </rPr>
      <t>Rationale</t>
    </r>
    <r>
      <rPr>
        <i/>
        <sz val="12"/>
        <color theme="1"/>
        <rFont val="Calibri"/>
        <family val="2"/>
        <scheme val="minor"/>
      </rPr>
      <t xml:space="preserve">: Clamp kilns are by a large margin the most energy and resource ineffcient brick kilns in use today. As South African clamp kiln operators are looking to decrease the environmental impact of their operations whilst maintaining or increasing their operational performance, amidst rising resource costs and an increasingly more stringent environmental regulatory landscape (i.e. Carbon Tax), there has been a greater push to explore alternative kiln types. Given its cost-effectiveness compared to other fixed kilns (i.e. tunnel kiln or the VSBK), the zig-zag kiln is being considered by some clamp kiln operators as a potentially viable alternative. </t>
    </r>
  </si>
  <si>
    <r>
      <rPr>
        <b/>
        <i/>
        <sz val="12"/>
        <color theme="1"/>
        <rFont val="Calibri"/>
        <family val="2"/>
        <scheme val="minor"/>
      </rPr>
      <t>Headline Inputs Sheet</t>
    </r>
    <r>
      <rPr>
        <i/>
        <sz val="12"/>
        <color theme="1"/>
        <rFont val="Calibri"/>
        <family val="2"/>
        <scheme val="minor"/>
      </rPr>
      <t xml:space="preserve">: The headline inputs sheet comprises the headline inputs table, a digram illustrating the operational savings in terms of the performance of the zig-zag kiln in comparison to the clamp kiln, the results of the financial viability of of the investment as well the GHG emissions of the current clamp operation compared to the emissions which would result in the new (zig-zag) operation. The headline inputs table shows the basic inputs which the user needs to enter in order to draw a preliminary result from the model. These basic inputs are editable (grey cells), according to the user's specifications and are linked to the more detailed and elaborate inputs in the Operating  Variables sheet. </t>
    </r>
  </si>
  <si>
    <r>
      <rPr>
        <b/>
        <i/>
        <sz val="12"/>
        <color theme="1"/>
        <rFont val="Calibri"/>
        <family val="2"/>
        <scheme val="minor"/>
      </rPr>
      <t>Operating Variables Sheet</t>
    </r>
    <r>
      <rPr>
        <i/>
        <sz val="12"/>
        <color theme="1"/>
        <rFont val="Calibri"/>
        <family val="2"/>
        <scheme val="minor"/>
      </rPr>
      <t>: This sheet provides a detailed analysis of the various inputs required to comprehenvidely evaluate the current clamp kiln operation against the prospective zig-zag operation. The sheet shows the data which automatically filtered through from the headline inputs table as well as static data (in grey) which is editable by the model user. The user should enter in more elaborate operational data concerning their current clamp kiln operation, as well as operational data concerning their prospective zig-zag kiln. The data in this sheet is linked to the Cash Flow sheet.</t>
    </r>
  </si>
  <si>
    <t>Investment Cost</t>
  </si>
  <si>
    <t>NPV of Cash Flow (ZAR)</t>
  </si>
  <si>
    <t>Payback Period (years)</t>
  </si>
  <si>
    <t>Fuel (ZAR)</t>
  </si>
  <si>
    <t>Fuel + Additional Sales Revenue (ZAR)</t>
  </si>
  <si>
    <t xml:space="preserve">Addition of waste </t>
  </si>
  <si>
    <t>Disclaimer</t>
  </si>
  <si>
    <t>This model has been prepared by EcoMetrix Africa (Pty) Ltd as part of the SWITCH Africa Green Project “Promoting inclusive Sustainable Practices in the South African Clay Brick Sector” co-funded by the European Union. 
EcoMetrix Africa (Pty) Ltd has taken all reasonable care to ensure that the model and calculations herein are accurate in all material aspects. However, EcoMetrix Africa (Pty) Ltd nor any of its directors, officers, employees, advisors or agents makes any representation or warranty or gives any undertaking of any kind, express or implied, as to the actuality, adequacy, accuracy, reliability or completeness of any opinions, forecasts, projections, assumptions and any other information contained in, or otherwise in relation to, this model, or assumes any undertaking to supplement any such information as further information becomes available or in light of changing circumstances. 
No liability of any kind whatsoever is assumed by EcoMetrix Africa (Pty) Ltd any of its directors, officers, employees, advisors or agents in relation to any such opinions, forecasts, projections, assumptions or any other information contained in, or otherwise in relation to, this model.</t>
  </si>
  <si>
    <t>Model Purpose</t>
  </si>
  <si>
    <t xml:space="preserve">To give clay brick makers an initial impression of the financial feasibility of switching to a more sustainable firing technology (i.e. from clamp to zig-zag)
To allow brick makers to interactively compare the operational costs and revenue from their current operation (clamp) against the prospective (zig-zag) operation
To serve as an initial basis for further developing investment decision into a funding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</si>
</sst>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3" formatCode="_-* #,##0.00_-;\-* #,##0.00_-;_-* &quot;-&quot;??_-;_-@_-"/>
    <numFmt numFmtId="164" formatCode="_(&quot;$&quot;* #,##0.00_);_(&quot;$&quot;* \(#,##0.00\);_(&quot;$&quot;* &quot;-&quot;??_);_(@_)"/>
    <numFmt numFmtId="165" formatCode="_(&quot;$&quot;* #,##0_);_(&quot;$&quot;* \(#,##0\);_(&quot;$&quot;* &quot;-&quot;??_);_(@_)"/>
    <numFmt numFmtId="166" formatCode="0.0"/>
    <numFmt numFmtId="167" formatCode="[$ZAR]\ #,##0"/>
    <numFmt numFmtId="168" formatCode="_-* #,##0_-;\-* #,##0_-;_-* &quot;-&quot;??_-;_-@_-"/>
    <numFmt numFmtId="169" formatCode="_(* #,##0.00_);_(* \(#,##0.00\);_(* &quot;-&quot;??_);_(@_)"/>
    <numFmt numFmtId="170" formatCode="_-* #,##0.0_-;\-* #,##0.0_-;_-* &quot;-&quot;??_-;_-@_-"/>
    <numFmt numFmtId="171" formatCode="_-* #,##0.0_-;\-* #,##0.0_-;_-* &quot;-&quot;?_-;_-@_-"/>
    <numFmt numFmtId="172" formatCode="_(* #,##0_);_(* \(#,##0\);_(* &quot;-&quot;??_);_(@_)"/>
    <numFmt numFmtId="173" formatCode="_-* #,##0.00000_-;\-* #,##0.00000_-;_-* &quot;-&quot;??_-;_-@_-"/>
    <numFmt numFmtId="174" formatCode="_-* #,##0.00000000_-;\-* #,##0.00000000_-;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24"/>
      <color rgb="FF00B0F0"/>
      <name val="Calibri"/>
      <family val="2"/>
      <scheme val="minor"/>
    </font>
    <font>
      <i/>
      <sz val="12"/>
      <color theme="1"/>
      <name val="Calibri"/>
      <family val="2"/>
      <scheme val="minor"/>
    </font>
    <font>
      <b/>
      <i/>
      <sz val="12"/>
      <color theme="1"/>
      <name val="Calibri"/>
      <family val="2"/>
      <scheme val="minor"/>
    </font>
    <font>
      <sz val="10"/>
      <name val="Arial"/>
      <family val="2"/>
    </font>
    <font>
      <b/>
      <sz val="11"/>
      <name val="Arial"/>
      <family val="2"/>
    </font>
    <font>
      <sz val="11"/>
      <name val="Arial"/>
      <family val="2"/>
    </font>
    <font>
      <b/>
      <sz val="12"/>
      <color indexed="9"/>
      <name val="Arial"/>
      <family val="2"/>
    </font>
    <font>
      <b/>
      <sz val="11"/>
      <color indexed="9"/>
      <name val="Arial"/>
      <family val="2"/>
    </font>
    <font>
      <b/>
      <sz val="10"/>
      <name val="Arial"/>
      <family val="2"/>
    </font>
    <font>
      <u/>
      <sz val="10"/>
      <color indexed="12"/>
      <name val="Arial"/>
      <family val="2"/>
    </font>
    <font>
      <b/>
      <sz val="22"/>
      <color theme="1"/>
      <name val="Century Gothic"/>
      <family val="2"/>
    </font>
    <font>
      <sz val="12"/>
      <color theme="1"/>
      <name val="Calibri"/>
      <family val="2"/>
      <scheme val="minor"/>
    </font>
    <font>
      <sz val="11"/>
      <color theme="1"/>
      <name val="Century Gothic"/>
      <family val="2"/>
    </font>
    <font>
      <b/>
      <sz val="12"/>
      <color theme="1"/>
      <name val="Century Gothic"/>
      <family val="2"/>
    </font>
    <font>
      <sz val="12"/>
      <color theme="0" tint="-0.499984740745262"/>
      <name val="Century Gothic"/>
      <family val="2"/>
    </font>
    <font>
      <b/>
      <sz val="22"/>
      <color rgb="FF00B050"/>
      <name val="Century Gothic"/>
      <family val="2"/>
    </font>
    <font>
      <b/>
      <sz val="24"/>
      <color rgb="FF00B050"/>
      <name val="Calibri"/>
      <family val="2"/>
      <scheme val="minor"/>
    </font>
    <font>
      <b/>
      <sz val="10"/>
      <color theme="0"/>
      <name val="Arial"/>
      <family val="2"/>
    </font>
    <font>
      <sz val="18"/>
      <color rgb="FF00B050"/>
      <name val="Calibri"/>
      <family val="2"/>
      <scheme val="minor"/>
    </font>
    <font>
      <b/>
      <sz val="22"/>
      <color theme="1" tint="0.499984740745262"/>
      <name val="Century Gothic"/>
      <family val="2"/>
    </font>
    <font>
      <b/>
      <sz val="20"/>
      <color rgb="FF00B050"/>
      <name val="Century Gothic"/>
      <family val="2"/>
    </font>
    <font>
      <b/>
      <sz val="10"/>
      <color theme="1"/>
      <name val="Century Gothic"/>
      <family val="2"/>
    </font>
    <font>
      <b/>
      <sz val="18"/>
      <color theme="0" tint="-0.499984740745262"/>
      <name val="Calibri"/>
      <family val="2"/>
      <scheme val="minor"/>
    </font>
    <font>
      <sz val="18"/>
      <color theme="0" tint="-0.499984740745262"/>
      <name val="Calibri"/>
      <family val="2"/>
      <scheme val="minor"/>
    </font>
    <font>
      <b/>
      <sz val="10"/>
      <color rgb="FF00B050"/>
      <name val="Arial"/>
      <family val="2"/>
    </font>
    <font>
      <sz val="10"/>
      <color theme="3"/>
      <name val="Arial"/>
      <family val="2"/>
    </font>
    <font>
      <b/>
      <i/>
      <sz val="11"/>
      <color theme="1"/>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sz val="20"/>
      <color rgb="FF00B050"/>
      <name val="Century Gothic"/>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style="medium">
        <color rgb="FF00B050"/>
      </right>
      <top style="medium">
        <color rgb="FF00B050"/>
      </top>
      <bottom style="medium">
        <color rgb="FF00B050"/>
      </bottom>
      <diagonal/>
    </border>
    <border>
      <left style="thin">
        <color indexed="64"/>
      </left>
      <right style="thin">
        <color indexed="64"/>
      </right>
      <top style="thin">
        <color indexed="64"/>
      </top>
      <bottom style="thick">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medium">
        <color rgb="FF00B050"/>
      </left>
      <right style="medium">
        <color rgb="FF00B050"/>
      </right>
      <top style="thin">
        <color indexed="64"/>
      </top>
      <bottom style="thin">
        <color indexed="64"/>
      </bottom>
      <diagonal/>
    </border>
    <border>
      <left style="medium">
        <color rgb="FF00B050"/>
      </left>
      <right style="medium">
        <color rgb="FF00B050"/>
      </right>
      <top/>
      <bottom style="thin">
        <color indexed="64"/>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style="medium">
        <color rgb="FF00B05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B050"/>
      </left>
      <right/>
      <top style="thin">
        <color indexed="64"/>
      </top>
      <bottom style="thin">
        <color indexed="64"/>
      </bottom>
      <diagonal/>
    </border>
    <border>
      <left/>
      <right style="medium">
        <color rgb="FF00B050"/>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169" fontId="1"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16" fillId="0" borderId="0"/>
    <xf numFmtId="43" fontId="16" fillId="0" borderId="0" applyFont="0" applyFill="0" applyBorder="0" applyAlignment="0" applyProtection="0"/>
    <xf numFmtId="9" fontId="16" fillId="0" borderId="0" applyFont="0" applyFill="0" applyBorder="0" applyAlignment="0" applyProtection="0"/>
  </cellStyleXfs>
  <cellXfs count="190">
    <xf numFmtId="0" fontId="0" fillId="0" borderId="0" xfId="0"/>
    <xf numFmtId="0" fontId="0" fillId="2" borderId="0" xfId="0" applyFill="1"/>
    <xf numFmtId="0" fontId="3" fillId="2" borderId="0" xfId="0" applyFont="1" applyFill="1" applyAlignment="1">
      <alignment horizontal="center"/>
    </xf>
    <xf numFmtId="165" fontId="0" fillId="2" borderId="0" xfId="1" applyNumberFormat="1" applyFont="1" applyFill="1"/>
    <xf numFmtId="0" fontId="2" fillId="2" borderId="0" xfId="0" applyFont="1" applyFill="1" applyBorder="1"/>
    <xf numFmtId="9" fontId="0" fillId="2" borderId="0" xfId="0" applyNumberFormat="1" applyFill="1" applyBorder="1"/>
    <xf numFmtId="0" fontId="0" fillId="2" borderId="0" xfId="0" applyFill="1" applyBorder="1"/>
    <xf numFmtId="0" fontId="5" fillId="2" borderId="0" xfId="0" applyFont="1" applyFill="1" applyAlignment="1">
      <alignment horizontal="left"/>
    </xf>
    <xf numFmtId="0" fontId="0" fillId="2" borderId="0" xfId="0" applyFill="1" applyAlignment="1">
      <alignment vertical="top"/>
    </xf>
    <xf numFmtId="0" fontId="6" fillId="2" borderId="0" xfId="0" applyFont="1" applyFill="1" applyBorder="1" applyAlignment="1">
      <alignment horizontal="left" vertical="top" wrapText="1"/>
    </xf>
    <xf numFmtId="167" fontId="0" fillId="2" borderId="0" xfId="1" applyNumberFormat="1" applyFont="1" applyFill="1" applyBorder="1" applyProtection="1">
      <protection locked="0"/>
    </xf>
    <xf numFmtId="167" fontId="0" fillId="2" borderId="0" xfId="0" applyNumberFormat="1" applyFill="1" applyBorder="1" applyProtection="1">
      <protection locked="0"/>
    </xf>
    <xf numFmtId="166" fontId="0" fillId="2" borderId="0" xfId="0" applyNumberFormat="1" applyFill="1" applyBorder="1" applyAlignment="1">
      <alignment horizontal="right"/>
    </xf>
    <xf numFmtId="0" fontId="0" fillId="2" borderId="0" xfId="0" applyFill="1" applyBorder="1" applyAlignment="1"/>
    <xf numFmtId="0" fontId="4" fillId="2" borderId="0" xfId="0" quotePrefix="1" applyFont="1" applyFill="1" applyBorder="1" applyAlignment="1">
      <alignment wrapText="1"/>
    </xf>
    <xf numFmtId="0" fontId="0" fillId="2" borderId="0" xfId="0" quotePrefix="1" applyFill="1" applyBorder="1" applyAlignment="1"/>
    <xf numFmtId="165" fontId="0" fillId="2" borderId="0" xfId="0" applyNumberFormat="1" applyFill="1" applyBorder="1"/>
    <xf numFmtId="1" fontId="0" fillId="2" borderId="0" xfId="1" applyNumberFormat="1" applyFont="1" applyFill="1" applyBorder="1" applyProtection="1">
      <protection locked="0"/>
    </xf>
    <xf numFmtId="1" fontId="0" fillId="2" borderId="0" xfId="0" applyNumberFormat="1" applyFill="1" applyBorder="1" applyProtection="1">
      <protection locked="0"/>
    </xf>
    <xf numFmtId="8" fontId="0" fillId="2" borderId="0" xfId="0" applyNumberFormat="1" applyFill="1" applyBorder="1" applyAlignment="1"/>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left"/>
    </xf>
    <xf numFmtId="0" fontId="8" fillId="0" borderId="0" xfId="4" applyAlignment="1">
      <alignment horizontal="left" vertical="center" indent="2"/>
    </xf>
    <xf numFmtId="0" fontId="13" fillId="0" borderId="0" xfId="4" applyFont="1" applyAlignment="1">
      <alignment horizontal="left" vertical="center" indent="1"/>
    </xf>
    <xf numFmtId="0" fontId="13" fillId="0" borderId="0" xfId="4" applyFont="1" applyAlignment="1">
      <alignment horizontal="left" vertical="center"/>
    </xf>
    <xf numFmtId="0" fontId="0" fillId="0" borderId="0" xfId="0" applyFill="1"/>
    <xf numFmtId="0" fontId="11" fillId="0" borderId="0" xfId="4" applyFont="1" applyFill="1" applyBorder="1" applyAlignment="1">
      <alignment horizontal="left" vertical="center" indent="1"/>
    </xf>
    <xf numFmtId="0" fontId="12" fillId="0" borderId="0" xfId="4" applyFont="1" applyFill="1" applyAlignment="1">
      <alignment horizontal="center" vertical="center"/>
    </xf>
    <xf numFmtId="168" fontId="8" fillId="0" borderId="0" xfId="2" applyNumberFormat="1" applyFont="1" applyAlignment="1"/>
    <xf numFmtId="168" fontId="0" fillId="2" borderId="0" xfId="2" applyNumberFormat="1" applyFont="1" applyFill="1" applyAlignment="1"/>
    <xf numFmtId="0" fontId="13" fillId="0" borderId="1" xfId="4" applyFont="1" applyBorder="1" applyAlignment="1">
      <alignment horizontal="left" vertical="center" indent="2"/>
    </xf>
    <xf numFmtId="168" fontId="13" fillId="0" borderId="1" xfId="2" applyNumberFormat="1" applyFont="1" applyBorder="1" applyAlignment="1"/>
    <xf numFmtId="0" fontId="8" fillId="0" borderId="1" xfId="4" applyBorder="1" applyAlignment="1">
      <alignment horizontal="left" vertical="center" indent="2"/>
    </xf>
    <xf numFmtId="168" fontId="8" fillId="0" borderId="1" xfId="2" applyNumberFormat="1" applyFont="1" applyBorder="1" applyAlignment="1"/>
    <xf numFmtId="0" fontId="11" fillId="0" borderId="1" xfId="4" applyFont="1" applyFill="1" applyBorder="1" applyAlignment="1">
      <alignment horizontal="left" vertical="center" indent="1"/>
    </xf>
    <xf numFmtId="168" fontId="11" fillId="0" borderId="1" xfId="2" applyNumberFormat="1" applyFont="1" applyFill="1" applyBorder="1" applyAlignment="1"/>
    <xf numFmtId="0" fontId="13" fillId="4" borderId="1" xfId="4" applyFont="1" applyFill="1" applyBorder="1" applyAlignment="1">
      <alignment horizontal="left" vertical="center" indent="2"/>
    </xf>
    <xf numFmtId="0" fontId="8" fillId="0" borderId="1" xfId="4" applyFont="1" applyBorder="1" applyAlignment="1">
      <alignment horizontal="left" vertical="center" indent="2"/>
    </xf>
    <xf numFmtId="0" fontId="15" fillId="0" borderId="0" xfId="9" applyFont="1" applyAlignment="1">
      <alignment vertical="center"/>
    </xf>
    <xf numFmtId="0" fontId="17" fillId="0" borderId="0" xfId="9" applyFont="1" applyAlignment="1">
      <alignment vertical="center" wrapText="1"/>
    </xf>
    <xf numFmtId="0" fontId="17" fillId="0" borderId="0" xfId="9" applyFont="1" applyAlignment="1">
      <alignment horizontal="center" vertical="center" wrapText="1"/>
    </xf>
    <xf numFmtId="0" fontId="19" fillId="0" borderId="0" xfId="9" applyFont="1" applyAlignment="1">
      <alignment horizontal="center" vertical="center" wrapText="1"/>
    </xf>
    <xf numFmtId="0" fontId="20" fillId="0" borderId="0" xfId="9" applyFont="1" applyAlignment="1">
      <alignment vertical="center"/>
    </xf>
    <xf numFmtId="0" fontId="17" fillId="0" borderId="0" xfId="9" applyFont="1" applyFill="1" applyBorder="1" applyAlignment="1">
      <alignment vertical="center" wrapText="1"/>
    </xf>
    <xf numFmtId="0" fontId="17" fillId="0" borderId="0" xfId="9" applyFont="1" applyFill="1" applyBorder="1" applyAlignment="1">
      <alignment horizontal="left" vertical="center" wrapText="1"/>
    </xf>
    <xf numFmtId="0" fontId="17" fillId="0" borderId="0" xfId="9" applyFont="1" applyFill="1" applyBorder="1" applyAlignment="1">
      <alignment horizontal="center" vertical="center" wrapText="1"/>
    </xf>
    <xf numFmtId="0" fontId="17" fillId="0" borderId="0" xfId="9" applyFont="1" applyBorder="1" applyAlignment="1">
      <alignment horizontal="left" vertical="center" wrapText="1"/>
    </xf>
    <xf numFmtId="9" fontId="17" fillId="0" borderId="0" xfId="3" applyFont="1" applyBorder="1" applyAlignment="1">
      <alignment horizontal="center" vertical="center" wrapText="1"/>
    </xf>
    <xf numFmtId="0" fontId="8" fillId="0" borderId="1" xfId="4" applyFill="1" applyBorder="1" applyAlignment="1">
      <alignment horizontal="left" vertical="center" indent="2"/>
    </xf>
    <xf numFmtId="43" fontId="8" fillId="0" borderId="1" xfId="2" applyNumberFormat="1" applyFont="1" applyFill="1" applyBorder="1" applyAlignment="1"/>
    <xf numFmtId="9" fontId="8" fillId="0" borderId="1" xfId="3" applyFont="1" applyFill="1" applyBorder="1" applyAlignment="1"/>
    <xf numFmtId="168" fontId="8" fillId="0" borderId="1" xfId="2" applyNumberFormat="1" applyFont="1" applyFill="1" applyBorder="1" applyAlignment="1"/>
    <xf numFmtId="0" fontId="13" fillId="0" borderId="1" xfId="4" applyFont="1" applyFill="1" applyBorder="1" applyAlignment="1">
      <alignment horizontal="left" vertical="center" indent="2"/>
    </xf>
    <xf numFmtId="168" fontId="13" fillId="0" borderId="1" xfId="2" applyNumberFormat="1" applyFont="1" applyFill="1" applyBorder="1" applyAlignment="1"/>
    <xf numFmtId="0" fontId="8" fillId="0" borderId="1" xfId="4" applyFont="1" applyFill="1" applyBorder="1" applyAlignment="1">
      <alignment horizontal="left" vertical="center" indent="2"/>
    </xf>
    <xf numFmtId="168" fontId="8" fillId="0" borderId="1" xfId="2" applyNumberFormat="1" applyFont="1" applyFill="1" applyBorder="1" applyAlignment="1">
      <alignment horizontal="left" vertical="center" indent="2"/>
    </xf>
    <xf numFmtId="0" fontId="0" fillId="2" borderId="1" xfId="0" applyFill="1" applyBorder="1" applyAlignment="1">
      <alignment horizontal="center"/>
    </xf>
    <xf numFmtId="168" fontId="0" fillId="2" borderId="1" xfId="2" applyNumberFormat="1" applyFont="1" applyFill="1" applyBorder="1" applyAlignment="1">
      <alignment horizontal="center"/>
    </xf>
    <xf numFmtId="9" fontId="0" fillId="2" borderId="1" xfId="3" applyFont="1" applyFill="1" applyBorder="1" applyAlignment="1">
      <alignment horizontal="center"/>
    </xf>
    <xf numFmtId="9" fontId="8" fillId="0" borderId="1" xfId="4" applyNumberFormat="1" applyFill="1" applyBorder="1" applyAlignment="1">
      <alignment horizontal="left" vertical="center" indent="2"/>
    </xf>
    <xf numFmtId="0" fontId="8" fillId="0" borderId="0" xfId="4" applyFill="1" applyBorder="1" applyAlignment="1">
      <alignment horizontal="left" vertical="center" indent="2"/>
    </xf>
    <xf numFmtId="168" fontId="8" fillId="0" borderId="0" xfId="2" applyNumberFormat="1" applyFont="1" applyFill="1" applyBorder="1" applyAlignment="1">
      <alignment horizontal="left" vertical="center" indent="2"/>
    </xf>
    <xf numFmtId="166" fontId="8" fillId="0" borderId="1" xfId="3" applyNumberFormat="1" applyFont="1" applyFill="1" applyBorder="1" applyAlignment="1">
      <alignment horizontal="right" vertical="center" indent="2"/>
    </xf>
    <xf numFmtId="0" fontId="21" fillId="2" borderId="0" xfId="0" applyFont="1" applyFill="1" applyAlignment="1">
      <alignment horizontal="left"/>
    </xf>
    <xf numFmtId="0" fontId="11" fillId="6" borderId="1" xfId="4" applyFont="1" applyFill="1" applyBorder="1" applyAlignment="1">
      <alignment horizontal="left" vertical="center" indent="1"/>
    </xf>
    <xf numFmtId="168" fontId="11" fillId="6" borderId="1" xfId="2" applyNumberFormat="1" applyFont="1" applyFill="1" applyBorder="1" applyAlignment="1"/>
    <xf numFmtId="0" fontId="11" fillId="6" borderId="2" xfId="4" applyFont="1" applyFill="1" applyBorder="1" applyAlignment="1">
      <alignment horizontal="left" vertical="center" indent="1"/>
    </xf>
    <xf numFmtId="0" fontId="8" fillId="2" borderId="0" xfId="4" applyFill="1"/>
    <xf numFmtId="0" fontId="12" fillId="6" borderId="1" xfId="4" applyFont="1" applyFill="1" applyBorder="1" applyAlignment="1">
      <alignment horizontal="center" vertical="center"/>
    </xf>
    <xf numFmtId="0" fontId="11" fillId="6" borderId="1" xfId="4" applyFont="1" applyFill="1" applyBorder="1" applyAlignment="1">
      <alignment horizontal="center" vertical="center"/>
    </xf>
    <xf numFmtId="0" fontId="23" fillId="2" borderId="0" xfId="0" applyFont="1" applyFill="1"/>
    <xf numFmtId="0" fontId="23" fillId="2" borderId="0" xfId="0" applyFont="1" applyFill="1" applyAlignment="1">
      <alignment horizontal="left"/>
    </xf>
    <xf numFmtId="0" fontId="23" fillId="2" borderId="0" xfId="0" applyFont="1" applyFill="1" applyAlignment="1">
      <alignment horizontal="center"/>
    </xf>
    <xf numFmtId="9" fontId="0" fillId="2" borderId="0" xfId="3" applyFont="1" applyFill="1" applyBorder="1" applyProtection="1">
      <protection locked="0"/>
    </xf>
    <xf numFmtId="0" fontId="2" fillId="2" borderId="0" xfId="0" applyFont="1" applyFill="1" applyBorder="1" applyAlignment="1"/>
    <xf numFmtId="168" fontId="0" fillId="2" borderId="0" xfId="2" applyNumberFormat="1" applyFont="1" applyFill="1" applyBorder="1" applyAlignment="1"/>
    <xf numFmtId="0" fontId="8" fillId="5" borderId="1" xfId="4" applyFill="1" applyBorder="1" applyAlignment="1">
      <alignment horizontal="left" vertical="center" indent="2"/>
    </xf>
    <xf numFmtId="0" fontId="8" fillId="5" borderId="1" xfId="4" applyFont="1" applyFill="1" applyBorder="1" applyAlignment="1">
      <alignment horizontal="left" vertical="center" indent="2"/>
    </xf>
    <xf numFmtId="0" fontId="24" fillId="0" borderId="0" xfId="9" applyFont="1" applyAlignment="1">
      <alignment vertical="center"/>
    </xf>
    <xf numFmtId="0" fontId="8" fillId="5" borderId="1" xfId="4" applyFill="1" applyBorder="1" applyAlignment="1" applyProtection="1">
      <alignment horizontal="left" vertical="center" indent="2"/>
      <protection locked="0"/>
    </xf>
    <xf numFmtId="43" fontId="8" fillId="5" borderId="1" xfId="2" applyNumberFormat="1" applyFont="1" applyFill="1" applyBorder="1" applyAlignment="1" applyProtection="1">
      <protection locked="0"/>
    </xf>
    <xf numFmtId="9" fontId="8" fillId="5" borderId="1" xfId="3" applyFont="1" applyFill="1" applyBorder="1" applyAlignment="1" applyProtection="1">
      <protection locked="0"/>
    </xf>
    <xf numFmtId="168" fontId="0" fillId="2" borderId="0" xfId="0" applyNumberFormat="1" applyFill="1"/>
    <xf numFmtId="168" fontId="0" fillId="2" borderId="0" xfId="0" applyNumberFormat="1" applyFill="1" applyAlignment="1">
      <alignment horizontal="left"/>
    </xf>
    <xf numFmtId="0" fontId="17" fillId="0" borderId="0" xfId="9" applyFont="1" applyFill="1" applyAlignment="1">
      <alignment horizontal="center" vertical="center" wrapText="1"/>
    </xf>
    <xf numFmtId="0" fontId="18" fillId="0" borderId="0" xfId="9" applyFont="1" applyFill="1" applyBorder="1" applyAlignment="1">
      <alignment horizontal="center" vertical="center" wrapText="1"/>
    </xf>
    <xf numFmtId="9" fontId="8" fillId="0" borderId="0" xfId="3" applyFont="1" applyFill="1" applyBorder="1" applyAlignment="1">
      <alignment horizontal="right" vertical="center" indent="2"/>
    </xf>
    <xf numFmtId="170" fontId="8" fillId="0" borderId="0" xfId="2" applyNumberFormat="1" applyFont="1" applyFill="1" applyBorder="1" applyAlignment="1">
      <alignment horizontal="left" vertical="center" indent="2"/>
    </xf>
    <xf numFmtId="0" fontId="17" fillId="0" borderId="0" xfId="9" applyFont="1" applyFill="1" applyAlignment="1">
      <alignment vertical="center" wrapText="1"/>
    </xf>
    <xf numFmtId="0" fontId="19" fillId="0" borderId="0" xfId="9" applyFont="1" applyFill="1" applyAlignment="1">
      <alignment horizontal="center" vertical="center" wrapText="1"/>
    </xf>
    <xf numFmtId="168" fontId="8" fillId="5" borderId="1" xfId="2" applyNumberFormat="1" applyFont="1" applyFill="1" applyBorder="1" applyAlignment="1" applyProtection="1">
      <alignment horizontal="left" vertical="center" indent="2"/>
      <protection locked="0"/>
    </xf>
    <xf numFmtId="9" fontId="8" fillId="5" borderId="1" xfId="3" applyFont="1" applyFill="1" applyBorder="1" applyAlignment="1" applyProtection="1">
      <alignment horizontal="right" vertical="center" indent="2"/>
      <protection locked="0"/>
    </xf>
    <xf numFmtId="170" fontId="8" fillId="5" borderId="1" xfId="2" applyNumberFormat="1" applyFont="1" applyFill="1" applyBorder="1" applyAlignment="1" applyProtection="1">
      <alignment horizontal="left" vertical="center" indent="2"/>
      <protection locked="0"/>
    </xf>
    <xf numFmtId="170" fontId="8" fillId="5" borderId="1" xfId="2" applyNumberFormat="1" applyFont="1" applyFill="1" applyBorder="1" applyAlignment="1" applyProtection="1">
      <protection locked="0"/>
    </xf>
    <xf numFmtId="168" fontId="8" fillId="5" borderId="1" xfId="2" applyNumberFormat="1" applyFont="1" applyFill="1" applyBorder="1" applyAlignment="1" applyProtection="1">
      <protection locked="0"/>
    </xf>
    <xf numFmtId="174" fontId="8" fillId="5" borderId="1" xfId="2" applyNumberFormat="1" applyFont="1" applyFill="1" applyBorder="1" applyAlignment="1" applyProtection="1">
      <protection locked="0"/>
    </xf>
    <xf numFmtId="173" fontId="8" fillId="5" borderId="1" xfId="2" applyNumberFormat="1" applyFont="1" applyFill="1" applyBorder="1" applyAlignment="1" applyProtection="1">
      <protection locked="0"/>
    </xf>
    <xf numFmtId="0" fontId="6" fillId="2" borderId="0" xfId="0" applyFont="1" applyFill="1" applyAlignment="1">
      <alignment horizontal="left" vertical="top" wrapText="1"/>
    </xf>
    <xf numFmtId="0" fontId="6" fillId="2" borderId="0" xfId="0" applyFont="1" applyFill="1" applyAlignment="1">
      <alignment vertical="top" wrapText="1"/>
    </xf>
    <xf numFmtId="0" fontId="0" fillId="2" borderId="0" xfId="0" applyFill="1" applyAlignment="1">
      <alignment horizontal="left" vertical="top" wrapText="1"/>
    </xf>
    <xf numFmtId="0" fontId="17" fillId="2" borderId="0" xfId="9" applyFont="1" applyFill="1" applyAlignment="1">
      <alignment horizontal="center" vertical="center" wrapText="1"/>
    </xf>
    <xf numFmtId="0" fontId="25" fillId="0" borderId="0" xfId="9" applyFont="1" applyAlignment="1">
      <alignment vertical="center"/>
    </xf>
    <xf numFmtId="0" fontId="26" fillId="0" borderId="4" xfId="9" applyFont="1" applyBorder="1" applyAlignment="1">
      <alignment horizontal="center" vertical="center"/>
    </xf>
    <xf numFmtId="0" fontId="26" fillId="0" borderId="4" xfId="9" applyFont="1" applyBorder="1" applyAlignment="1">
      <alignment horizontal="center" vertical="center" wrapText="1"/>
    </xf>
    <xf numFmtId="0" fontId="8" fillId="0" borderId="0" xfId="4" applyFont="1" applyFill="1" applyBorder="1" applyAlignment="1">
      <alignment horizontal="left" vertical="center" indent="2"/>
    </xf>
    <xf numFmtId="0" fontId="8" fillId="2" borderId="0" xfId="4" applyFont="1" applyFill="1" applyBorder="1" applyAlignment="1">
      <alignment horizontal="left" vertical="center" indent="2"/>
    </xf>
    <xf numFmtId="170" fontId="8" fillId="2" borderId="0" xfId="2" applyNumberFormat="1" applyFont="1" applyFill="1" applyBorder="1" applyAlignment="1" applyProtection="1">
      <alignment horizontal="left" vertical="center" indent="2"/>
      <protection locked="0"/>
    </xf>
    <xf numFmtId="170" fontId="8" fillId="2" borderId="0" xfId="2" applyNumberFormat="1" applyFont="1" applyFill="1" applyBorder="1" applyAlignment="1">
      <alignment horizontal="left" vertical="center" indent="2"/>
    </xf>
    <xf numFmtId="171" fontId="0" fillId="2" borderId="0" xfId="0" applyNumberFormat="1" applyFill="1"/>
    <xf numFmtId="0" fontId="27" fillId="2" borderId="0" xfId="0" applyFont="1" applyFill="1"/>
    <xf numFmtId="0" fontId="28" fillId="2" borderId="0" xfId="0" applyFont="1" applyFill="1"/>
    <xf numFmtId="0" fontId="28" fillId="2" borderId="0" xfId="0" applyFont="1" applyFill="1" applyAlignment="1">
      <alignment horizontal="left"/>
    </xf>
    <xf numFmtId="0" fontId="28" fillId="2" borderId="0" xfId="0" applyFont="1" applyFill="1" applyAlignment="1">
      <alignment horizontal="center"/>
    </xf>
    <xf numFmtId="0" fontId="25" fillId="2" borderId="0" xfId="9" applyFont="1" applyFill="1" applyAlignment="1">
      <alignment vertical="center"/>
    </xf>
    <xf numFmtId="168" fontId="11" fillId="0" borderId="1" xfId="4" applyNumberFormat="1" applyFont="1" applyFill="1" applyBorder="1" applyAlignment="1">
      <alignment horizontal="left" vertical="center" indent="1"/>
    </xf>
    <xf numFmtId="0" fontId="9" fillId="3" borderId="1" xfId="4" applyFont="1" applyFill="1" applyBorder="1" applyAlignment="1">
      <alignment horizontal="right" vertical="center" indent="1"/>
    </xf>
    <xf numFmtId="168" fontId="9" fillId="3" borderId="1" xfId="4" applyNumberFormat="1" applyFont="1" applyFill="1" applyBorder="1" applyAlignment="1">
      <alignment vertical="center"/>
    </xf>
    <xf numFmtId="0" fontId="11" fillId="2" borderId="0" xfId="4" applyFont="1" applyFill="1" applyBorder="1" applyAlignment="1">
      <alignment horizontal="left" vertical="center" indent="1"/>
    </xf>
    <xf numFmtId="0" fontId="12" fillId="2" borderId="0" xfId="4" applyFont="1" applyFill="1" applyAlignment="1">
      <alignment horizontal="center" vertical="center"/>
    </xf>
    <xf numFmtId="0" fontId="8" fillId="2" borderId="0" xfId="4" applyFill="1" applyAlignment="1">
      <alignment vertical="center"/>
    </xf>
    <xf numFmtId="169" fontId="10" fillId="0" borderId="1" xfId="4" applyNumberFormat="1" applyFont="1" applyBorder="1" applyAlignment="1">
      <alignment vertical="center"/>
    </xf>
    <xf numFmtId="0" fontId="9" fillId="2" borderId="0" xfId="4" applyFont="1" applyFill="1" applyAlignment="1">
      <alignment horizontal="right" vertical="center" indent="1"/>
    </xf>
    <xf numFmtId="169" fontId="9" fillId="2" borderId="0" xfId="4" applyNumberFormat="1" applyFont="1" applyFill="1" applyAlignment="1">
      <alignment vertical="center"/>
    </xf>
    <xf numFmtId="0" fontId="8" fillId="2" borderId="0" xfId="4" applyFill="1" applyAlignment="1">
      <alignment horizontal="left" wrapText="1"/>
    </xf>
    <xf numFmtId="0" fontId="8" fillId="2" borderId="0" xfId="4" applyFill="1" applyBorder="1"/>
    <xf numFmtId="9" fontId="0" fillId="2" borderId="1" xfId="3" applyNumberFormat="1" applyFont="1" applyFill="1" applyBorder="1" applyAlignment="1">
      <alignment horizontal="center"/>
    </xf>
    <xf numFmtId="172" fontId="0" fillId="2" borderId="0" xfId="0" applyNumberFormat="1" applyFill="1"/>
    <xf numFmtId="0" fontId="13" fillId="0" borderId="0" xfId="9" applyFont="1" applyAlignment="1">
      <alignment vertical="center"/>
    </xf>
    <xf numFmtId="9" fontId="8" fillId="0" borderId="1" xfId="3" applyFont="1" applyFill="1" applyBorder="1" applyAlignment="1">
      <alignment horizontal="left" vertical="center" indent="2"/>
    </xf>
    <xf numFmtId="0" fontId="22" fillId="6" borderId="11" xfId="4" applyFont="1" applyFill="1" applyBorder="1" applyAlignment="1">
      <alignment horizontal="center"/>
    </xf>
    <xf numFmtId="0" fontId="13" fillId="4" borderId="1" xfId="4" applyFont="1" applyFill="1" applyBorder="1" applyAlignment="1">
      <alignment horizontal="left" wrapText="1"/>
    </xf>
    <xf numFmtId="168" fontId="13" fillId="2" borderId="1" xfId="2" applyNumberFormat="1" applyFont="1" applyFill="1" applyBorder="1" applyAlignment="1">
      <alignment horizontal="left" wrapText="1"/>
    </xf>
    <xf numFmtId="165" fontId="13" fillId="2" borderId="1" xfId="6" applyNumberFormat="1" applyFont="1" applyFill="1" applyBorder="1" applyAlignment="1">
      <alignment horizontal="left" wrapText="1"/>
    </xf>
    <xf numFmtId="0" fontId="13" fillId="2" borderId="1" xfId="4" applyFont="1" applyFill="1" applyBorder="1" applyAlignment="1">
      <alignment horizontal="left" wrapText="1"/>
    </xf>
    <xf numFmtId="0" fontId="13" fillId="4" borderId="1" xfId="4" applyFont="1" applyFill="1" applyBorder="1"/>
    <xf numFmtId="0" fontId="13" fillId="2" borderId="1" xfId="4" applyFont="1" applyFill="1" applyBorder="1"/>
    <xf numFmtId="168" fontId="8" fillId="2" borderId="1" xfId="2" applyNumberFormat="1" applyFont="1" applyFill="1" applyBorder="1" applyAlignment="1">
      <alignment horizontal="center"/>
    </xf>
    <xf numFmtId="0" fontId="8" fillId="2" borderId="1" xfId="4" applyFill="1" applyBorder="1" applyAlignment="1">
      <alignment horizontal="left" vertical="center" indent="2"/>
    </xf>
    <xf numFmtId="0" fontId="29" fillId="2" borderId="1" xfId="4" applyFont="1" applyFill="1" applyBorder="1"/>
    <xf numFmtId="0" fontId="30" fillId="2" borderId="1" xfId="4" applyFont="1" applyFill="1" applyBorder="1" applyAlignment="1">
      <alignment horizontal="left" indent="1"/>
    </xf>
    <xf numFmtId="168" fontId="13" fillId="5" borderId="1" xfId="2" applyNumberFormat="1" applyFont="1" applyFill="1" applyBorder="1"/>
    <xf numFmtId="0" fontId="8" fillId="2" borderId="1" xfId="4" applyFill="1" applyBorder="1"/>
    <xf numFmtId="166" fontId="13" fillId="5" borderId="1" xfId="4" applyNumberFormat="1" applyFont="1" applyFill="1" applyBorder="1"/>
    <xf numFmtId="166" fontId="8" fillId="5" borderId="1" xfId="4" applyNumberFormat="1" applyFill="1" applyBorder="1"/>
    <xf numFmtId="0" fontId="8" fillId="5" borderId="1" xfId="4" applyFill="1" applyBorder="1"/>
    <xf numFmtId="10" fontId="8" fillId="5" borderId="1" xfId="4" applyNumberFormat="1" applyFill="1" applyBorder="1"/>
    <xf numFmtId="169" fontId="13" fillId="5" borderId="1" xfId="4" applyNumberFormat="1" applyFont="1" applyFill="1" applyBorder="1"/>
    <xf numFmtId="168" fontId="8" fillId="2" borderId="1" xfId="2" applyNumberFormat="1" applyFont="1" applyFill="1" applyBorder="1" applyAlignment="1">
      <alignment horizontal="left" wrapText="1"/>
    </xf>
    <xf numFmtId="0" fontId="8" fillId="2" borderId="0" xfId="4" applyFill="1" applyAlignment="1">
      <alignment horizontal="left" vertical="center" indent="2"/>
    </xf>
    <xf numFmtId="168" fontId="8" fillId="2" borderId="0" xfId="2" applyNumberFormat="1" applyFont="1" applyFill="1" applyAlignment="1"/>
    <xf numFmtId="0" fontId="31" fillId="2" borderId="10" xfId="0" applyFont="1" applyFill="1" applyBorder="1" applyAlignment="1">
      <alignment vertical="center"/>
    </xf>
    <xf numFmtId="0" fontId="31" fillId="2" borderId="8" xfId="0" applyFont="1" applyFill="1" applyBorder="1" applyAlignment="1">
      <alignment vertical="center"/>
    </xf>
    <xf numFmtId="0" fontId="31" fillId="2" borderId="7" xfId="0" applyFont="1" applyFill="1" applyBorder="1" applyAlignment="1">
      <alignment vertical="center"/>
    </xf>
    <xf numFmtId="0" fontId="31" fillId="2" borderId="9" xfId="0" applyFont="1" applyFill="1" applyBorder="1" applyAlignment="1">
      <alignment vertical="center"/>
    </xf>
    <xf numFmtId="168" fontId="8" fillId="2" borderId="12" xfId="2" applyNumberFormat="1" applyFont="1" applyFill="1" applyBorder="1" applyAlignment="1">
      <alignment horizontal="center"/>
    </xf>
    <xf numFmtId="168" fontId="8" fillId="2" borderId="13" xfId="2" applyNumberFormat="1" applyFont="1" applyFill="1" applyBorder="1" applyAlignment="1">
      <alignment horizontal="center"/>
    </xf>
    <xf numFmtId="168" fontId="8" fillId="2" borderId="14" xfId="2" applyNumberFormat="1" applyFont="1" applyFill="1" applyBorder="1" applyAlignment="1">
      <alignment horizontal="center"/>
    </xf>
    <xf numFmtId="0" fontId="32" fillId="2" borderId="0" xfId="0" applyFont="1" applyFill="1"/>
    <xf numFmtId="0" fontId="35" fillId="2" borderId="0" xfId="9" applyFont="1" applyFill="1" applyAlignment="1">
      <alignment vertical="center"/>
    </xf>
    <xf numFmtId="0" fontId="34" fillId="2" borderId="5" xfId="0" applyFont="1" applyFill="1" applyBorder="1" applyAlignment="1">
      <alignment horizontal="left" vertical="top" wrapText="1"/>
    </xf>
    <xf numFmtId="0" fontId="34" fillId="2" borderId="6" xfId="0" applyFont="1" applyFill="1" applyBorder="1" applyAlignment="1">
      <alignment horizontal="left" vertical="top" wrapText="1"/>
    </xf>
    <xf numFmtId="0" fontId="34"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3" xfId="0" applyFont="1" applyFill="1" applyBorder="1" applyAlignment="1">
      <alignment horizontal="left" vertical="top" wrapText="1"/>
    </xf>
    <xf numFmtId="0" fontId="2" fillId="2" borderId="0" xfId="0" applyFont="1" applyFill="1" applyAlignment="1">
      <alignment horizontal="left" vertical="top"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2" borderId="8" xfId="0" applyFill="1" applyBorder="1" applyAlignment="1">
      <alignment horizontal="left" vertical="center" wrapText="1"/>
    </xf>
    <xf numFmtId="0" fontId="0" fillId="2" borderId="10" xfId="0" applyFill="1" applyBorder="1" applyAlignment="1">
      <alignment horizontal="left" vertical="center" wrapText="1"/>
    </xf>
    <xf numFmtId="0" fontId="0" fillId="2" borderId="23" xfId="0" applyFill="1" applyBorder="1" applyAlignment="1">
      <alignment horizontal="left" vertical="center" wrapText="1"/>
    </xf>
    <xf numFmtId="0" fontId="0" fillId="2" borderId="13" xfId="0" applyFill="1" applyBorder="1" applyAlignment="1">
      <alignment horizontal="left" vertical="center" wrapText="1"/>
    </xf>
    <xf numFmtId="0" fontId="0" fillId="2" borderId="24" xfId="0" applyFill="1" applyBorder="1" applyAlignment="1">
      <alignment horizontal="left" vertical="center" wrapText="1"/>
    </xf>
    <xf numFmtId="0" fontId="11" fillId="6" borderId="1" xfId="4" applyFont="1" applyFill="1" applyBorder="1" applyAlignment="1">
      <alignment horizontal="left" vertical="center"/>
    </xf>
    <xf numFmtId="168" fontId="8" fillId="2" borderId="12" xfId="2" applyNumberFormat="1" applyFont="1" applyFill="1" applyBorder="1" applyAlignment="1">
      <alignment horizontal="center"/>
    </xf>
    <xf numFmtId="168" fontId="8" fillId="2" borderId="13" xfId="2" applyNumberFormat="1" applyFont="1" applyFill="1" applyBorder="1" applyAlignment="1">
      <alignment horizontal="center"/>
    </xf>
    <xf numFmtId="168" fontId="8" fillId="2" borderId="14" xfId="2" applyNumberFormat="1" applyFont="1" applyFill="1" applyBorder="1" applyAlignment="1">
      <alignment horizontal="center"/>
    </xf>
    <xf numFmtId="168" fontId="8" fillId="2" borderId="15" xfId="2" applyNumberFormat="1" applyFont="1" applyFill="1" applyBorder="1" applyAlignment="1">
      <alignment horizontal="center"/>
    </xf>
    <xf numFmtId="168" fontId="8" fillId="2" borderId="16" xfId="2" applyNumberFormat="1" applyFont="1" applyFill="1" applyBorder="1" applyAlignment="1">
      <alignment horizontal="center"/>
    </xf>
    <xf numFmtId="168" fontId="8" fillId="2" borderId="17" xfId="2" applyNumberFormat="1" applyFont="1" applyFill="1" applyBorder="1" applyAlignment="1">
      <alignment horizontal="center"/>
    </xf>
    <xf numFmtId="168" fontId="8" fillId="2" borderId="18" xfId="2" applyNumberFormat="1" applyFont="1" applyFill="1" applyBorder="1" applyAlignment="1">
      <alignment horizontal="center"/>
    </xf>
    <xf numFmtId="168" fontId="8" fillId="2" borderId="0" xfId="2" applyNumberFormat="1" applyFont="1" applyFill="1" applyBorder="1" applyAlignment="1">
      <alignment horizontal="center"/>
    </xf>
    <xf numFmtId="168" fontId="8" fillId="2" borderId="19" xfId="2" applyNumberFormat="1" applyFont="1" applyFill="1" applyBorder="1" applyAlignment="1">
      <alignment horizontal="center"/>
    </xf>
    <xf numFmtId="168" fontId="8" fillId="2" borderId="20" xfId="2" applyNumberFormat="1" applyFont="1" applyFill="1" applyBorder="1" applyAlignment="1">
      <alignment horizontal="center"/>
    </xf>
    <xf numFmtId="168" fontId="8" fillId="2" borderId="21" xfId="2" applyNumberFormat="1" applyFont="1" applyFill="1" applyBorder="1" applyAlignment="1">
      <alignment horizontal="center"/>
    </xf>
    <xf numFmtId="168" fontId="8" fillId="2" borderId="22" xfId="2" applyNumberFormat="1" applyFont="1" applyFill="1" applyBorder="1" applyAlignment="1">
      <alignment horizontal="center"/>
    </xf>
    <xf numFmtId="0" fontId="32" fillId="2" borderId="5"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3" xfId="0" applyFont="1" applyFill="1" applyBorder="1" applyAlignment="1">
      <alignment horizontal="left" vertical="top" wrapText="1"/>
    </xf>
  </cellXfs>
  <cellStyles count="13">
    <cellStyle name="Comma" xfId="2" builtinId="3"/>
    <cellStyle name="Comma 2" xfId="7" xr:uid="{D8163F42-0173-4DC3-BCE0-9530F6ACFDF3}"/>
    <cellStyle name="Comma 3" xfId="11" xr:uid="{47454721-700F-4BB4-BA72-833F86A8069F}"/>
    <cellStyle name="Currency" xfId="1" builtinId="4"/>
    <cellStyle name="Currency 2" xfId="6" xr:uid="{3939A6C6-FF0E-45BD-BFB5-1037ECE248F5}"/>
    <cellStyle name="Hyperlink 2" xfId="8" xr:uid="{03B8E2D5-8BDD-42BF-81AB-842F32AA9D4E}"/>
    <cellStyle name="Normal" xfId="0" builtinId="0"/>
    <cellStyle name="Normal 2" xfId="4" xr:uid="{6A0E71F7-AEB5-4E7B-B99C-E07D06D8A9CF}"/>
    <cellStyle name="Normal 3" xfId="10" xr:uid="{8A6693C4-6530-474C-B3CD-4FA13001303A}"/>
    <cellStyle name="Normal 3 4" xfId="9" xr:uid="{725183FC-98A0-4806-969F-48D6AAA7E1BA}"/>
    <cellStyle name="Percent" xfId="3" builtinId="5"/>
    <cellStyle name="Percent 2" xfId="5" xr:uid="{236BED63-9F16-4E6A-8930-60B9FCF36093}"/>
    <cellStyle name="Percent 3" xfId="12" xr:uid="{AE6BAE67-FBFA-47DB-B21E-624EBB0E5AD3}"/>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b="1"/>
              <a:t>Overall Performance of Zig-Zag kiln vs Clamp kiln</a:t>
            </a:r>
          </a:p>
        </c:rich>
      </c:tx>
      <c:layout>
        <c:manualLayout>
          <c:xMode val="edge"/>
          <c:yMode val="edge"/>
          <c:x val="0.32160076542156368"/>
          <c:y val="2.5665316352881915E-2"/>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6.9062554680664912E-2"/>
          <c:y val="0.16555555555555557"/>
          <c:w val="0.89334033245844269"/>
          <c:h val="0.75480679498396031"/>
        </c:manualLayout>
      </c:layout>
      <c:barChart>
        <c:barDir val="bar"/>
        <c:grouping val="clustered"/>
        <c:varyColors val="0"/>
        <c:ser>
          <c:idx val="0"/>
          <c:order val="0"/>
          <c:spPr>
            <a:solidFill>
              <a:srgbClr val="00B050"/>
            </a:solidFill>
            <a:ln>
              <a:noFill/>
            </a:ln>
            <a:effectLst/>
          </c:spPr>
          <c:invertIfNegative val="0"/>
          <c:dPt>
            <c:idx val="0"/>
            <c:invertIfNegative val="1"/>
            <c:bubble3D val="0"/>
            <c:spPr>
              <a:solidFill>
                <a:srgbClr val="00B050"/>
              </a:solidFill>
              <a:ln>
                <a:noFill/>
              </a:ln>
              <a:effectLst/>
            </c:spPr>
            <c:extLst>
              <c:ext xmlns:c16="http://schemas.microsoft.com/office/drawing/2014/chart" uri="{C3380CC4-5D6E-409C-BE32-E72D297353CC}">
                <c16:uniqueId val="{00000001-800F-4B80-BBB1-E8474FBF38C1}"/>
              </c:ext>
            </c:extLst>
          </c:dPt>
          <c:dPt>
            <c:idx val="1"/>
            <c:invertIfNegative val="1"/>
            <c:bubble3D val="0"/>
            <c:spPr>
              <a:solidFill>
                <a:srgbClr val="00B050"/>
              </a:solidFill>
              <a:ln>
                <a:noFill/>
              </a:ln>
              <a:effectLst/>
            </c:spPr>
            <c:extLst>
              <c:ext xmlns:c16="http://schemas.microsoft.com/office/drawing/2014/chart" uri="{C3380CC4-5D6E-409C-BE32-E72D297353CC}">
                <c16:uniqueId val="{00000003-800F-4B80-BBB1-E8474FBF38C1}"/>
              </c:ext>
            </c:extLst>
          </c:dPt>
          <c:dPt>
            <c:idx val="2"/>
            <c:invertIfNegative val="0"/>
            <c:bubble3D val="0"/>
            <c:spPr>
              <a:solidFill>
                <a:srgbClr val="00B050"/>
              </a:solidFill>
              <a:ln>
                <a:noFill/>
              </a:ln>
              <a:effectLst/>
            </c:spPr>
            <c:extLst>
              <c:ext xmlns:c16="http://schemas.microsoft.com/office/drawing/2014/chart" uri="{C3380CC4-5D6E-409C-BE32-E72D297353CC}">
                <c16:uniqueId val="{0000000A-216D-4070-91EE-D792DADC7DCA}"/>
              </c:ext>
            </c:extLst>
          </c:dPt>
          <c:dPt>
            <c:idx val="3"/>
            <c:invertIfNegative val="1"/>
            <c:bubble3D val="0"/>
            <c:spPr>
              <a:solidFill>
                <a:srgbClr val="00B050"/>
              </a:solidFill>
              <a:ln>
                <a:noFill/>
              </a:ln>
              <a:effectLst/>
            </c:spPr>
            <c:extLst>
              <c:ext xmlns:c16="http://schemas.microsoft.com/office/drawing/2014/chart" uri="{C3380CC4-5D6E-409C-BE32-E72D297353CC}">
                <c16:uniqueId val="{00000005-800F-4B80-BBB1-E8474FBF38C1}"/>
              </c:ext>
            </c:extLst>
          </c:dPt>
          <c:dPt>
            <c:idx val="4"/>
            <c:invertIfNegative val="0"/>
            <c:bubble3D val="0"/>
            <c:spPr>
              <a:solidFill>
                <a:srgbClr val="00B050"/>
              </a:solidFill>
              <a:ln>
                <a:noFill/>
              </a:ln>
              <a:effectLst/>
            </c:spPr>
            <c:extLst>
              <c:ext xmlns:c16="http://schemas.microsoft.com/office/drawing/2014/chart" uri="{C3380CC4-5D6E-409C-BE32-E72D297353CC}">
                <c16:uniqueId val="{00000009-216D-4070-91EE-D792DADC7DCA}"/>
              </c:ext>
            </c:extLst>
          </c:dPt>
          <c:dPt>
            <c:idx val="5"/>
            <c:invertIfNegative val="1"/>
            <c:bubble3D val="0"/>
            <c:spPr>
              <a:solidFill>
                <a:srgbClr val="00B050"/>
              </a:solidFill>
              <a:ln>
                <a:noFill/>
              </a:ln>
              <a:effectLst/>
            </c:spPr>
            <c:extLst>
              <c:ext xmlns:c16="http://schemas.microsoft.com/office/drawing/2014/chart" uri="{C3380CC4-5D6E-409C-BE32-E72D297353CC}">
                <c16:uniqueId val="{00000007-800F-4B80-BBB1-E8474FBF38C1}"/>
              </c:ext>
            </c:extLst>
          </c:dPt>
          <c:dPt>
            <c:idx val="6"/>
            <c:invertIfNegative val="1"/>
            <c:bubble3D val="0"/>
            <c:extLst>
              <c:ext xmlns:c16="http://schemas.microsoft.com/office/drawing/2014/chart" uri="{C3380CC4-5D6E-409C-BE32-E72D297353CC}">
                <c16:uniqueId val="{00000008-216D-4070-91EE-D792DADC7DCA}"/>
              </c:ext>
            </c:extLst>
          </c:dPt>
          <c:dLbls>
            <c:dLbl>
              <c:idx val="4"/>
              <c:layout>
                <c:manualLayout>
                  <c:x val="-6.7867747669851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6D-4070-91EE-D792DADC7DCA}"/>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'Headline Inputs '!$I$5:$I$11</c:f>
              <c:strCache>
                <c:ptCount val="7"/>
                <c:pt idx="0">
                  <c:v>Operating Profit (EBITDA)</c:v>
                </c:pt>
                <c:pt idx="1">
                  <c:v>Cost of materials (Pallets)</c:v>
                </c:pt>
                <c:pt idx="2">
                  <c:v>Cost of labour </c:v>
                </c:pt>
                <c:pt idx="3">
                  <c:v>Cost of utilities (electricity and water)</c:v>
                </c:pt>
                <c:pt idx="4">
                  <c:v>Cost of fuel (production process)</c:v>
                </c:pt>
                <c:pt idx="5">
                  <c:v>Cost of clay</c:v>
                </c:pt>
                <c:pt idx="6">
                  <c:v>Revenue (brick sales)</c:v>
                </c:pt>
              </c:strCache>
            </c:strRef>
          </c:cat>
          <c:val>
            <c:numRef>
              <c:f>'Headline Inputs '!$J$5:$J$11</c:f>
              <c:numCache>
                <c:formatCode>0%</c:formatCode>
                <c:ptCount val="7"/>
                <c:pt idx="0">
                  <c:v>1.0522680144251264</c:v>
                </c:pt>
                <c:pt idx="1">
                  <c:v>3.248894073112208E-2</c:v>
                </c:pt>
                <c:pt idx="2">
                  <c:v>-0.25343642611683848</c:v>
                </c:pt>
                <c:pt idx="3">
                  <c:v>0.1382444622077228</c:v>
                </c:pt>
                <c:pt idx="4">
                  <c:v>-0.2633886626996555</c:v>
                </c:pt>
                <c:pt idx="5">
                  <c:v>0</c:v>
                </c:pt>
                <c:pt idx="6">
                  <c:v>7.5947934352009056E-2</c:v>
                </c:pt>
              </c:numCache>
            </c:numRef>
          </c:val>
          <c:extLst>
            <c:ext xmlns:c16="http://schemas.microsoft.com/office/drawing/2014/chart" uri="{C3380CC4-5D6E-409C-BE32-E72D297353CC}">
              <c16:uniqueId val="{00000008-800F-4B80-BBB1-E8474FBF38C1}"/>
            </c:ext>
          </c:extLst>
        </c:ser>
        <c:dLbls>
          <c:showLegendKey val="0"/>
          <c:showVal val="0"/>
          <c:showCatName val="0"/>
          <c:showSerName val="0"/>
          <c:showPercent val="0"/>
          <c:showBubbleSize val="0"/>
        </c:dLbls>
        <c:gapWidth val="125"/>
        <c:axId val="1043577183"/>
        <c:axId val="1072274143"/>
      </c:barChart>
      <c:catAx>
        <c:axId val="104357718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72274143"/>
        <c:crosses val="autoZero"/>
        <c:auto val="1"/>
        <c:lblAlgn val="ctr"/>
        <c:lblOffset val="100"/>
        <c:noMultiLvlLbl val="0"/>
      </c:catAx>
      <c:valAx>
        <c:axId val="107227414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4357718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66675</xdr:rowOff>
    </xdr:from>
    <xdr:to>
      <xdr:col>8</xdr:col>
      <xdr:colOff>5581650</xdr:colOff>
      <xdr:row>6</xdr:row>
      <xdr:rowOff>0</xdr:rowOff>
    </xdr:to>
    <xdr:grpSp>
      <xdr:nvGrpSpPr>
        <xdr:cNvPr id="10" name="Group 9">
          <a:extLst>
            <a:ext uri="{FF2B5EF4-FFF2-40B4-BE49-F238E27FC236}">
              <a16:creationId xmlns:a16="http://schemas.microsoft.com/office/drawing/2014/main" id="{D972052A-C378-4A7C-ACF8-992509D9E835}"/>
            </a:ext>
          </a:extLst>
        </xdr:cNvPr>
        <xdr:cNvGrpSpPr/>
      </xdr:nvGrpSpPr>
      <xdr:grpSpPr>
        <a:xfrm>
          <a:off x="314325" y="904875"/>
          <a:ext cx="9791700" cy="914400"/>
          <a:chOff x="257175" y="4238625"/>
          <a:chExt cx="6190615" cy="597535"/>
        </a:xfrm>
      </xdr:grpSpPr>
      <xdr:pic>
        <xdr:nvPicPr>
          <xdr:cNvPr id="6" name="Picture 5" descr="Image result for SWITCH AFRICA GREEN LOGO">
            <a:extLst>
              <a:ext uri="{FF2B5EF4-FFF2-40B4-BE49-F238E27FC236}">
                <a16:creationId xmlns:a16="http://schemas.microsoft.com/office/drawing/2014/main" id="{A017683F-3E82-4A1B-BE91-E7E606B15B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 y="4238625"/>
            <a:ext cx="1077595" cy="569595"/>
          </a:xfrm>
          <a:prstGeom prst="rect">
            <a:avLst/>
          </a:prstGeom>
          <a:noFill/>
        </xdr:spPr>
      </xdr:pic>
      <xdr:pic>
        <xdr:nvPicPr>
          <xdr:cNvPr id="7" name="Picture 6">
            <a:extLst>
              <a:ext uri="{FF2B5EF4-FFF2-40B4-BE49-F238E27FC236}">
                <a16:creationId xmlns:a16="http://schemas.microsoft.com/office/drawing/2014/main" id="{4705727F-3177-473F-8A38-AF4F3E12D170}"/>
              </a:ext>
            </a:extLst>
          </xdr:cNvPr>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Effect>
                      <a14:saturation sat="200000"/>
                    </a14:imgEffect>
                  </a14:imgLayer>
                </a14:imgProps>
              </a:ext>
            </a:extLst>
          </a:blip>
          <a:stretch>
            <a:fillRect/>
          </a:stretch>
        </xdr:blipFill>
        <xdr:spPr>
          <a:xfrm>
            <a:off x="4564380" y="4255770"/>
            <a:ext cx="1883410" cy="485775"/>
          </a:xfrm>
          <a:prstGeom prst="rect">
            <a:avLst/>
          </a:prstGeom>
        </xdr:spPr>
      </xdr:pic>
      <xdr:pic>
        <xdr:nvPicPr>
          <xdr:cNvPr id="8" name="Picture 7" descr="Image result for department of environmental affairs">
            <a:extLst>
              <a:ext uri="{FF2B5EF4-FFF2-40B4-BE49-F238E27FC236}">
                <a16:creationId xmlns:a16="http://schemas.microsoft.com/office/drawing/2014/main" id="{4596EAAC-C478-4284-8840-92296636DEBB}"/>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424" t="4213" r="6723" b="4438"/>
          <a:stretch/>
        </xdr:blipFill>
        <xdr:spPr bwMode="auto">
          <a:xfrm>
            <a:off x="257175" y="4260215"/>
            <a:ext cx="438150" cy="575945"/>
          </a:xfrm>
          <a:prstGeom prst="rect">
            <a:avLst/>
          </a:prstGeom>
          <a:noFill/>
          <a:ln>
            <a:noFill/>
          </a:ln>
          <a:extLst>
            <a:ext uri="{53640926-AAD7-44D8-BBD7-CCE9431645EC}">
              <a14:shadowObscured xmlns:a14="http://schemas.microsoft.com/office/drawing/2010/main"/>
            </a:ext>
          </a:extLst>
        </xdr:spPr>
      </xdr:pic>
      <xdr:pic>
        <xdr:nvPicPr>
          <xdr:cNvPr id="9" name="Picture 8">
            <a:extLst>
              <a:ext uri="{FF2B5EF4-FFF2-40B4-BE49-F238E27FC236}">
                <a16:creationId xmlns:a16="http://schemas.microsoft.com/office/drawing/2014/main" id="{2AFEE9C8-6553-41AD-A0C1-EA04D5C6607F}"/>
              </a:ext>
            </a:extLst>
          </xdr:cNvPr>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tretch>
            <a:fillRect/>
          </a:stretch>
        </xdr:blipFill>
        <xdr:spPr>
          <a:xfrm>
            <a:off x="3154045" y="4250690"/>
            <a:ext cx="676275" cy="555625"/>
          </a:xfrm>
          <a:prstGeom prst="rect">
            <a:avLst/>
          </a:prstGeom>
        </xdr:spPr>
      </xdr:pic>
    </xdr:grpSp>
    <xdr:clientData/>
  </xdr:twoCellAnchor>
  <xdr:twoCellAnchor>
    <xdr:from>
      <xdr:col>1</xdr:col>
      <xdr:colOff>0</xdr:colOff>
      <xdr:row>11</xdr:row>
      <xdr:rowOff>1066800</xdr:rowOff>
    </xdr:from>
    <xdr:to>
      <xdr:col>8</xdr:col>
      <xdr:colOff>3419475</xdr:colOff>
      <xdr:row>20</xdr:row>
      <xdr:rowOff>95250</xdr:rowOff>
    </xdr:to>
    <xdr:grpSp>
      <xdr:nvGrpSpPr>
        <xdr:cNvPr id="17" name="Group 16">
          <a:extLst>
            <a:ext uri="{FF2B5EF4-FFF2-40B4-BE49-F238E27FC236}">
              <a16:creationId xmlns:a16="http://schemas.microsoft.com/office/drawing/2014/main" id="{0796D87D-8BC1-4345-BBF9-575415244C5B}"/>
            </a:ext>
          </a:extLst>
        </xdr:cNvPr>
        <xdr:cNvGrpSpPr/>
      </xdr:nvGrpSpPr>
      <xdr:grpSpPr>
        <a:xfrm>
          <a:off x="257175" y="5791200"/>
          <a:ext cx="7686675" cy="1847850"/>
          <a:chOff x="257175" y="7019925"/>
          <a:chExt cx="4782185" cy="1190625"/>
        </a:xfrm>
      </xdr:grpSpPr>
      <xdr:pic>
        <xdr:nvPicPr>
          <xdr:cNvPr id="14" name="Picture 13">
            <a:extLst>
              <a:ext uri="{FF2B5EF4-FFF2-40B4-BE49-F238E27FC236}">
                <a16:creationId xmlns:a16="http://schemas.microsoft.com/office/drawing/2014/main" id="{CED40FDE-17B0-4702-8295-278600AF1F5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21205" y="7496175"/>
            <a:ext cx="1752600" cy="358140"/>
          </a:xfrm>
          <a:prstGeom prst="rect">
            <a:avLst/>
          </a:prstGeom>
          <a:noFill/>
          <a:ln>
            <a:noFill/>
          </a:ln>
        </xdr:spPr>
      </xdr:pic>
      <xdr:pic>
        <xdr:nvPicPr>
          <xdr:cNvPr id="15" name="Picture 14">
            <a:extLst>
              <a:ext uri="{FF2B5EF4-FFF2-40B4-BE49-F238E27FC236}">
                <a16:creationId xmlns:a16="http://schemas.microsoft.com/office/drawing/2014/main" id="{58864FEA-570D-47AB-BC32-DB7F275CA88D}"/>
              </a:ext>
            </a:extLst>
          </xdr:cNvPr>
          <xdr:cNvPicPr/>
        </xdr:nvPicPr>
        <xdr:blipFill>
          <a:blip xmlns:r="http://schemas.openxmlformats.org/officeDocument/2006/relationships" r:embed="rId8"/>
          <a:stretch>
            <a:fillRect/>
          </a:stretch>
        </xdr:blipFill>
        <xdr:spPr>
          <a:xfrm>
            <a:off x="4382135" y="7467600"/>
            <a:ext cx="657225" cy="504825"/>
          </a:xfrm>
          <a:prstGeom prst="rect">
            <a:avLst/>
          </a:prstGeom>
        </xdr:spPr>
      </xdr:pic>
      <xdr:pic>
        <xdr:nvPicPr>
          <xdr:cNvPr id="16" name="Picture 15">
            <a:extLst>
              <a:ext uri="{FF2B5EF4-FFF2-40B4-BE49-F238E27FC236}">
                <a16:creationId xmlns:a16="http://schemas.microsoft.com/office/drawing/2014/main" id="{0D67C117-5535-45A2-8AAC-41BA1CC90389}"/>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57175" y="7019925"/>
            <a:ext cx="1190625" cy="11906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2</xdr:row>
      <xdr:rowOff>57150</xdr:rowOff>
    </xdr:from>
    <xdr:to>
      <xdr:col>12</xdr:col>
      <xdr:colOff>1865395</xdr:colOff>
      <xdr:row>20</xdr:row>
      <xdr:rowOff>171450</xdr:rowOff>
    </xdr:to>
    <xdr:graphicFrame macro="">
      <xdr:nvGraphicFramePr>
        <xdr:cNvPr id="3" name="CHART_PIA">
          <a:extLst>
            <a:ext uri="{FF2B5EF4-FFF2-40B4-BE49-F238E27FC236}">
              <a16:creationId xmlns:a16="http://schemas.microsoft.com/office/drawing/2014/main" id="{82517B1A-B80B-495A-9E49-D716AD129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4EE9-966B-4B39-83DD-1972CEE4A4BD}">
  <dimension ref="B2:I21"/>
  <sheetViews>
    <sheetView workbookViewId="0"/>
  </sheetViews>
  <sheetFormatPr defaultRowHeight="15" x14ac:dyDescent="0.25"/>
  <cols>
    <col min="1" max="1" width="3.85546875" style="1" customWidth="1"/>
    <col min="2" max="8" width="9.140625" style="1"/>
    <col min="9" max="9" width="123.85546875" style="1" customWidth="1"/>
    <col min="10" max="16384" width="9.140625" style="1"/>
  </cols>
  <sheetData>
    <row r="2" spans="2:9" ht="25.5" x14ac:dyDescent="0.25">
      <c r="B2" s="102" t="s">
        <v>207</v>
      </c>
    </row>
    <row r="3" spans="2:9" ht="25.5" x14ac:dyDescent="0.25">
      <c r="B3" s="114"/>
    </row>
    <row r="4" spans="2:9" ht="25.5" x14ac:dyDescent="0.25">
      <c r="B4" s="114"/>
    </row>
    <row r="5" spans="2:9" ht="25.5" x14ac:dyDescent="0.25">
      <c r="B5" s="102"/>
    </row>
    <row r="6" spans="2:9" ht="26.25" x14ac:dyDescent="0.25">
      <c r="B6" s="159"/>
    </row>
    <row r="7" spans="2:9" ht="15.75" thickBot="1" x14ac:dyDescent="0.3"/>
    <row r="8" spans="2:9" ht="60.75" customHeight="1" thickBot="1" x14ac:dyDescent="0.3">
      <c r="B8" s="160" t="s">
        <v>208</v>
      </c>
      <c r="C8" s="161"/>
      <c r="D8" s="161"/>
      <c r="E8" s="161"/>
      <c r="F8" s="161"/>
      <c r="G8" s="161"/>
      <c r="H8" s="161"/>
      <c r="I8" s="162"/>
    </row>
    <row r="9" spans="2:9" ht="15.75" thickBot="1" x14ac:dyDescent="0.3"/>
    <row r="10" spans="2:9" ht="120.75" customHeight="1" thickBot="1" x14ac:dyDescent="0.3">
      <c r="B10" s="160" t="s">
        <v>209</v>
      </c>
      <c r="C10" s="161"/>
      <c r="D10" s="161"/>
      <c r="E10" s="161"/>
      <c r="F10" s="161"/>
      <c r="G10" s="161"/>
      <c r="H10" s="161"/>
      <c r="I10" s="162"/>
    </row>
    <row r="11" spans="2:9" ht="15.75" thickBot="1" x14ac:dyDescent="0.3"/>
    <row r="12" spans="2:9" ht="102" customHeight="1" thickBot="1" x14ac:dyDescent="0.3">
      <c r="B12" s="160" t="s">
        <v>210</v>
      </c>
      <c r="C12" s="161"/>
      <c r="D12" s="161"/>
      <c r="E12" s="161"/>
      <c r="F12" s="161"/>
      <c r="G12" s="161"/>
      <c r="H12" s="161"/>
      <c r="I12" s="162"/>
    </row>
    <row r="21" spans="7:7" ht="18.75" x14ac:dyDescent="0.3">
      <c r="G21" s="158"/>
    </row>
  </sheetData>
  <sheetProtection algorithmName="SHA-512" hashValue="pXFdK9jOCRZB1bVRdQKi1H252hCpAZkEhLqItwGXS7w4eJaLqfNmMfNd0m4N1C3CzPPhhXs3jILiWXfad1RqJg==" saltValue="AsfGeRN+KqvGsI6M2cPsDA==" spinCount="100000" sheet="1" objects="1" scenarios="1" selectLockedCells="1" selectUnlockedCells="1"/>
  <mergeCells count="3">
    <mergeCell ref="B8:I8"/>
    <mergeCell ref="B10:I10"/>
    <mergeCell ref="B12:I1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0710D-F493-48F3-9FA1-E514F8FB4A9E}">
  <dimension ref="B3:I10"/>
  <sheetViews>
    <sheetView tabSelected="1" workbookViewId="0">
      <selection activeCell="D15" sqref="D15"/>
    </sheetView>
  </sheetViews>
  <sheetFormatPr defaultRowHeight="15" x14ac:dyDescent="0.25"/>
  <cols>
    <col min="1" max="1" width="4.28515625" style="1" customWidth="1"/>
    <col min="2" max="2" width="121.42578125" style="1" customWidth="1"/>
    <col min="3" max="16384" width="9.140625" style="1"/>
  </cols>
  <sheetData>
    <row r="3" spans="2:9" ht="26.25" customHeight="1" x14ac:dyDescent="0.25">
      <c r="B3" s="102" t="s">
        <v>222</v>
      </c>
    </row>
    <row r="4" spans="2:9" ht="15.75" customHeight="1" thickBot="1" x14ac:dyDescent="0.3"/>
    <row r="5" spans="2:9" ht="65.25" customHeight="1" thickBot="1" x14ac:dyDescent="0.3">
      <c r="B5" s="187" t="s">
        <v>223</v>
      </c>
      <c r="C5" s="188"/>
      <c r="D5" s="188"/>
      <c r="E5" s="188"/>
      <c r="F5" s="188"/>
      <c r="G5" s="188"/>
      <c r="H5" s="188"/>
      <c r="I5" s="189"/>
    </row>
    <row r="6" spans="2:9" ht="15.75" customHeight="1" x14ac:dyDescent="0.25"/>
    <row r="8" spans="2:9" ht="25.5" x14ac:dyDescent="0.25">
      <c r="B8" s="102" t="s">
        <v>220</v>
      </c>
    </row>
    <row r="9" spans="2:9" ht="15.75" thickBot="1" x14ac:dyDescent="0.3"/>
    <row r="10" spans="2:9" ht="154.5" customHeight="1" thickBot="1" x14ac:dyDescent="0.3">
      <c r="B10" s="187" t="s">
        <v>221</v>
      </c>
      <c r="C10" s="188"/>
      <c r="D10" s="188"/>
      <c r="E10" s="188"/>
      <c r="F10" s="188"/>
      <c r="G10" s="188"/>
      <c r="H10" s="188"/>
      <c r="I10" s="189"/>
    </row>
  </sheetData>
  <sheetProtection algorithmName="SHA-512" hashValue="VnIrJqah0LWp3YAGMe4DwOM5v611CG1LF1m/NcTiToL7EaXHHs/LxxKAlAc1rZI7amA3Wk38QcCVR3dpTuoRSQ==" saltValue="amy2jTTRZULCSP9vU/aIRA==" spinCount="100000" sheet="1" objects="1" scenarios="1" selectLockedCells="1" selectUnlockedCells="1"/>
  <mergeCells count="2">
    <mergeCell ref="B10:I10"/>
    <mergeCell ref="B5:I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9"/>
  <sheetViews>
    <sheetView zoomScaleNormal="100" workbookViewId="0"/>
  </sheetViews>
  <sheetFormatPr defaultColWidth="9.140625" defaultRowHeight="15" x14ac:dyDescent="0.25"/>
  <cols>
    <col min="1" max="1" width="3" style="1" customWidth="1"/>
    <col min="2" max="2" width="25.85546875" style="1" customWidth="1"/>
    <col min="3" max="3" width="5.42578125" style="1" customWidth="1"/>
    <col min="4" max="4" width="15.140625" style="1" bestFit="1" customWidth="1"/>
    <col min="5" max="5" width="11.7109375" style="1" bestFit="1" customWidth="1"/>
    <col min="6" max="8" width="10.42578125" style="1" bestFit="1" customWidth="1"/>
    <col min="9" max="9" width="171" style="1" customWidth="1"/>
    <col min="10" max="10" width="32.42578125" style="1" customWidth="1"/>
    <col min="11" max="11" width="11.42578125" style="1" customWidth="1"/>
    <col min="12" max="12" width="39.85546875" style="1" customWidth="1"/>
    <col min="13" max="15" width="9.140625" style="1"/>
    <col min="16" max="16" width="13.85546875" style="1" customWidth="1"/>
    <col min="17" max="17" width="20.140625" style="1" customWidth="1"/>
    <col min="18" max="16384" width="9.140625" style="1"/>
  </cols>
  <sheetData>
    <row r="2" spans="2:20" ht="31.5" x14ac:dyDescent="0.5">
      <c r="B2" s="64" t="s">
        <v>133</v>
      </c>
      <c r="C2" s="7"/>
      <c r="D2" s="2"/>
      <c r="E2" s="2"/>
      <c r="F2" s="2"/>
      <c r="G2" s="2"/>
      <c r="H2" s="2"/>
      <c r="I2" s="2"/>
    </row>
    <row r="3" spans="2:20" ht="15.75" thickBot="1" x14ac:dyDescent="0.3">
      <c r="B3" s="166"/>
      <c r="C3" s="166"/>
      <c r="D3" s="166"/>
      <c r="E3" s="166"/>
      <c r="F3" s="166"/>
      <c r="G3" s="166"/>
      <c r="H3" s="166"/>
      <c r="I3" s="166"/>
    </row>
    <row r="4" spans="2:20" ht="50.25" customHeight="1" thickBot="1" x14ac:dyDescent="0.3">
      <c r="B4" s="163" t="s">
        <v>211</v>
      </c>
      <c r="C4" s="164"/>
      <c r="D4" s="164"/>
      <c r="E4" s="164"/>
      <c r="F4" s="164"/>
      <c r="G4" s="164"/>
      <c r="H4" s="164"/>
      <c r="I4" s="165"/>
    </row>
    <row r="5" spans="2:20" ht="9.75" customHeight="1" x14ac:dyDescent="0.25">
      <c r="B5" s="9"/>
      <c r="C5" s="9"/>
      <c r="D5" s="9"/>
      <c r="E5" s="9"/>
      <c r="F5" s="9"/>
      <c r="G5" s="9"/>
      <c r="H5" s="9"/>
      <c r="I5" s="9"/>
    </row>
    <row r="6" spans="2:20" ht="27" customHeight="1" x14ac:dyDescent="0.25">
      <c r="B6" s="79" t="s">
        <v>106</v>
      </c>
      <c r="C6" s="98"/>
      <c r="D6" s="98"/>
      <c r="E6" s="98"/>
      <c r="F6" s="98"/>
      <c r="G6" s="98"/>
      <c r="H6" s="98"/>
      <c r="I6" s="98"/>
    </row>
    <row r="7" spans="2:20" ht="16.5" thickBot="1" x14ac:dyDescent="0.3">
      <c r="B7" s="99"/>
      <c r="C7" s="99"/>
      <c r="D7" s="99"/>
      <c r="E7" s="99"/>
      <c r="F7" s="99"/>
      <c r="G7" s="99"/>
      <c r="H7" s="99"/>
      <c r="I7" s="99"/>
      <c r="T7" s="8"/>
    </row>
    <row r="8" spans="2:20" ht="51" customHeight="1" thickBot="1" x14ac:dyDescent="0.3">
      <c r="B8" s="163" t="s">
        <v>212</v>
      </c>
      <c r="C8" s="164"/>
      <c r="D8" s="164"/>
      <c r="E8" s="164"/>
      <c r="F8" s="164"/>
      <c r="G8" s="164"/>
      <c r="H8" s="164"/>
      <c r="I8" s="165"/>
      <c r="T8" s="8"/>
    </row>
    <row r="9" spans="2:20" ht="13.5" customHeight="1" thickBot="1" x14ac:dyDescent="0.3">
      <c r="T9" s="8"/>
    </row>
    <row r="10" spans="2:20" ht="48.75" customHeight="1" thickBot="1" x14ac:dyDescent="0.3">
      <c r="B10" s="163" t="s">
        <v>213</v>
      </c>
      <c r="C10" s="164"/>
      <c r="D10" s="164"/>
      <c r="E10" s="164"/>
      <c r="F10" s="164"/>
      <c r="G10" s="164"/>
      <c r="H10" s="164"/>
      <c r="I10" s="165"/>
      <c r="T10" s="8"/>
    </row>
    <row r="11" spans="2:20" ht="15.75" thickBot="1" x14ac:dyDescent="0.3"/>
    <row r="12" spans="2:20" ht="18.75" customHeight="1" thickBot="1" x14ac:dyDescent="0.3">
      <c r="B12" s="163" t="s">
        <v>161</v>
      </c>
      <c r="C12" s="164"/>
      <c r="D12" s="164"/>
      <c r="E12" s="164"/>
      <c r="F12" s="164"/>
      <c r="G12" s="164"/>
      <c r="H12" s="164"/>
      <c r="I12" s="165"/>
      <c r="S12" s="6"/>
      <c r="T12" s="6"/>
    </row>
    <row r="13" spans="2:20" ht="15.75" thickBot="1" x14ac:dyDescent="0.3">
      <c r="K13" s="100"/>
      <c r="L13" s="100"/>
      <c r="M13" s="100"/>
      <c r="N13" s="100"/>
      <c r="O13" s="6"/>
      <c r="P13" s="6"/>
      <c r="Q13" s="6"/>
      <c r="R13" s="6"/>
      <c r="S13" s="6"/>
      <c r="T13" s="6"/>
    </row>
    <row r="14" spans="2:20" ht="18.75" customHeight="1" thickBot="1" x14ac:dyDescent="0.3">
      <c r="B14" s="163" t="s">
        <v>184</v>
      </c>
      <c r="C14" s="164"/>
      <c r="D14" s="164"/>
      <c r="E14" s="164"/>
      <c r="F14" s="164"/>
      <c r="G14" s="164"/>
      <c r="H14" s="164"/>
      <c r="I14" s="165"/>
      <c r="K14" s="100"/>
      <c r="L14" s="100"/>
      <c r="M14" s="100"/>
      <c r="N14" s="100"/>
      <c r="O14" s="4"/>
      <c r="P14" s="4"/>
      <c r="Q14" s="4"/>
      <c r="R14" s="4"/>
      <c r="S14" s="4"/>
      <c r="T14" s="6"/>
    </row>
    <row r="15" spans="2:20" ht="9.75" customHeight="1" x14ac:dyDescent="0.25">
      <c r="B15" s="9"/>
      <c r="C15" s="9"/>
      <c r="D15" s="9"/>
      <c r="E15" s="9"/>
      <c r="F15" s="9"/>
      <c r="G15" s="9"/>
      <c r="H15" s="9"/>
      <c r="I15" s="9"/>
      <c r="K15" s="100"/>
      <c r="L15" s="100"/>
      <c r="M15" s="100"/>
      <c r="N15" s="100"/>
      <c r="O15" s="4"/>
      <c r="P15" s="4"/>
      <c r="Q15" s="4"/>
      <c r="R15" s="4"/>
      <c r="S15" s="4"/>
      <c r="T15" s="6"/>
    </row>
    <row r="16" spans="2:20" ht="25.5" customHeight="1" x14ac:dyDescent="0.25">
      <c r="B16" s="79" t="s">
        <v>178</v>
      </c>
      <c r="C16" s="98"/>
      <c r="D16" s="98"/>
      <c r="E16" s="98"/>
      <c r="F16" s="98"/>
      <c r="G16" s="98"/>
      <c r="H16" s="98"/>
      <c r="I16" s="98"/>
      <c r="K16" s="100"/>
      <c r="L16" s="100"/>
      <c r="M16" s="100"/>
      <c r="N16" s="100"/>
      <c r="O16" s="4"/>
      <c r="P16" s="4"/>
      <c r="Q16" s="4"/>
      <c r="R16" s="4"/>
      <c r="S16" s="4"/>
      <c r="T16" s="6"/>
    </row>
    <row r="17" spans="2:20" ht="9" customHeight="1" thickBot="1" x14ac:dyDescent="0.3">
      <c r="B17" s="98"/>
      <c r="C17" s="98"/>
      <c r="D17" s="98"/>
      <c r="E17" s="98"/>
      <c r="F17" s="98"/>
      <c r="G17" s="98"/>
      <c r="H17" s="98"/>
      <c r="I17" s="98"/>
      <c r="K17" s="100"/>
      <c r="L17" s="100"/>
      <c r="M17" s="100"/>
      <c r="N17" s="100"/>
      <c r="O17" s="4"/>
      <c r="P17" s="4"/>
      <c r="Q17" s="4"/>
      <c r="R17" s="4"/>
      <c r="S17" s="4"/>
      <c r="T17" s="6"/>
    </row>
    <row r="18" spans="2:20" ht="21.75" customHeight="1" thickBot="1" x14ac:dyDescent="0.3">
      <c r="B18" s="163" t="s">
        <v>180</v>
      </c>
      <c r="C18" s="164"/>
      <c r="D18" s="164"/>
      <c r="E18" s="164"/>
      <c r="F18" s="164"/>
      <c r="G18" s="164"/>
      <c r="H18" s="164"/>
      <c r="I18" s="165"/>
      <c r="K18" s="100"/>
      <c r="L18" s="100"/>
      <c r="M18" s="100"/>
      <c r="N18" s="100"/>
      <c r="O18" s="4"/>
      <c r="P18" s="4"/>
      <c r="Q18" s="4"/>
      <c r="R18" s="4"/>
      <c r="S18" s="4"/>
      <c r="T18" s="6"/>
    </row>
    <row r="19" spans="2:20" ht="16.5" thickBot="1" x14ac:dyDescent="0.3">
      <c r="B19" s="98"/>
      <c r="C19" s="98"/>
      <c r="D19" s="98"/>
      <c r="E19" s="98"/>
      <c r="F19" s="98"/>
      <c r="G19" s="98"/>
      <c r="H19" s="98"/>
      <c r="I19" s="98"/>
      <c r="K19" s="1" t="s">
        <v>107</v>
      </c>
      <c r="L19" s="4"/>
      <c r="M19" s="4"/>
      <c r="N19" s="17"/>
      <c r="O19" s="18"/>
      <c r="P19" s="18"/>
      <c r="Q19" s="18"/>
      <c r="R19" s="18"/>
      <c r="S19" s="11"/>
      <c r="T19" s="6"/>
    </row>
    <row r="20" spans="2:20" ht="16.5" thickBot="1" x14ac:dyDescent="0.3">
      <c r="B20" s="163" t="s">
        <v>181</v>
      </c>
      <c r="C20" s="164"/>
      <c r="D20" s="164"/>
      <c r="E20" s="164"/>
      <c r="F20" s="164"/>
      <c r="G20" s="164"/>
      <c r="H20" s="164"/>
      <c r="I20" s="165"/>
      <c r="L20" s="4"/>
      <c r="M20" s="4"/>
      <c r="N20" s="17"/>
      <c r="O20" s="18"/>
      <c r="P20" s="18"/>
      <c r="Q20" s="18"/>
      <c r="R20" s="18"/>
      <c r="S20" s="11"/>
      <c r="T20" s="6"/>
    </row>
    <row r="21" spans="2:20" ht="10.5" customHeight="1" x14ac:dyDescent="0.25">
      <c r="B21" s="9"/>
      <c r="C21" s="9"/>
      <c r="D21" s="9"/>
      <c r="E21" s="9"/>
      <c r="F21" s="9"/>
      <c r="G21" s="9"/>
      <c r="H21" s="9"/>
      <c r="I21" s="9"/>
      <c r="L21" s="4"/>
      <c r="M21" s="4"/>
      <c r="N21" s="17"/>
      <c r="O21" s="18"/>
      <c r="P21" s="18"/>
      <c r="Q21" s="18"/>
      <c r="R21" s="18"/>
      <c r="S21" s="11"/>
      <c r="T21" s="6"/>
    </row>
    <row r="22" spans="2:20" ht="28.5" customHeight="1" x14ac:dyDescent="0.25">
      <c r="B22" s="79" t="s">
        <v>108</v>
      </c>
      <c r="J22" s="3"/>
      <c r="L22" s="4"/>
      <c r="M22" s="4"/>
      <c r="N22" s="18"/>
      <c r="O22" s="17"/>
      <c r="P22" s="17"/>
      <c r="Q22" s="17"/>
      <c r="R22" s="17"/>
      <c r="S22" s="10"/>
      <c r="T22" s="6"/>
    </row>
    <row r="23" spans="2:20" ht="15" customHeight="1" thickBot="1" x14ac:dyDescent="0.3">
      <c r="L23" s="4"/>
      <c r="M23" s="4"/>
      <c r="N23" s="74"/>
      <c r="O23" s="18"/>
      <c r="P23" s="18"/>
      <c r="Q23" s="18"/>
      <c r="R23" s="18"/>
      <c r="S23" s="11"/>
      <c r="T23" s="6"/>
    </row>
    <row r="24" spans="2:20" ht="28.5" customHeight="1" x14ac:dyDescent="0.25">
      <c r="B24" s="151" t="s">
        <v>136</v>
      </c>
      <c r="C24" s="170" t="s">
        <v>137</v>
      </c>
      <c r="D24" s="170"/>
      <c r="E24" s="170"/>
      <c r="F24" s="170"/>
      <c r="G24" s="170"/>
      <c r="H24" s="170"/>
      <c r="I24" s="170"/>
      <c r="L24" s="4"/>
      <c r="M24" s="4"/>
      <c r="N24" s="5"/>
      <c r="O24" s="6"/>
      <c r="P24" s="6"/>
      <c r="Q24" s="6"/>
      <c r="R24" s="6"/>
      <c r="S24" s="6"/>
      <c r="T24" s="6"/>
    </row>
    <row r="25" spans="2:20" ht="21.75" customHeight="1" x14ac:dyDescent="0.25">
      <c r="B25" s="152" t="s">
        <v>0</v>
      </c>
      <c r="C25" s="169" t="s">
        <v>8</v>
      </c>
      <c r="D25" s="169"/>
      <c r="E25" s="169"/>
      <c r="F25" s="169"/>
      <c r="G25" s="169"/>
      <c r="H25" s="169"/>
      <c r="I25" s="169"/>
      <c r="L25" s="4"/>
      <c r="M25" s="4"/>
      <c r="N25" s="5"/>
      <c r="O25" s="6"/>
      <c r="P25" s="6"/>
      <c r="Q25" s="6"/>
      <c r="R25" s="6"/>
      <c r="S25" s="6"/>
      <c r="T25" s="6"/>
    </row>
    <row r="26" spans="2:20" ht="21.75" customHeight="1" x14ac:dyDescent="0.25">
      <c r="B26" s="152" t="s">
        <v>104</v>
      </c>
      <c r="C26" s="171" t="s">
        <v>182</v>
      </c>
      <c r="D26" s="172"/>
      <c r="E26" s="172"/>
      <c r="F26" s="172"/>
      <c r="G26" s="172"/>
      <c r="H26" s="172"/>
      <c r="I26" s="173"/>
      <c r="L26" s="4"/>
      <c r="M26" s="4"/>
      <c r="N26" s="5"/>
      <c r="O26" s="6"/>
      <c r="P26" s="6"/>
      <c r="Q26" s="6"/>
      <c r="R26" s="6"/>
      <c r="S26" s="6"/>
      <c r="T26" s="6"/>
    </row>
    <row r="27" spans="2:20" ht="22.5" customHeight="1" x14ac:dyDescent="0.25">
      <c r="B27" s="153" t="s">
        <v>103</v>
      </c>
      <c r="C27" s="167" t="s">
        <v>9</v>
      </c>
      <c r="D27" s="167"/>
      <c r="E27" s="167"/>
      <c r="F27" s="167"/>
      <c r="G27" s="167"/>
      <c r="H27" s="167"/>
      <c r="I27" s="167"/>
      <c r="J27" s="14"/>
      <c r="K27" s="12"/>
      <c r="L27" s="75"/>
      <c r="M27" s="75"/>
      <c r="N27" s="12"/>
      <c r="O27" s="13"/>
      <c r="P27" s="13"/>
      <c r="Q27" s="13"/>
      <c r="R27" s="13"/>
      <c r="S27" s="13"/>
      <c r="T27" s="6"/>
    </row>
    <row r="28" spans="2:20" ht="25.5" customHeight="1" thickBot="1" x14ac:dyDescent="0.3">
      <c r="B28" s="154" t="s">
        <v>56</v>
      </c>
      <c r="C28" s="168" t="s">
        <v>10</v>
      </c>
      <c r="D28" s="168"/>
      <c r="E28" s="168"/>
      <c r="F28" s="168"/>
      <c r="G28" s="168"/>
      <c r="H28" s="168"/>
      <c r="I28" s="168"/>
      <c r="J28" s="15"/>
      <c r="K28" s="16"/>
      <c r="L28" s="75"/>
      <c r="M28" s="75"/>
      <c r="N28" s="76"/>
      <c r="O28" s="19"/>
      <c r="P28" s="13"/>
      <c r="Q28" s="13"/>
      <c r="R28" s="13"/>
      <c r="S28" s="13"/>
      <c r="T28" s="6"/>
    </row>
    <row r="29" spans="2:20" x14ac:dyDescent="0.25">
      <c r="L29" s="6"/>
      <c r="M29" s="6"/>
      <c r="N29" s="6"/>
      <c r="O29" s="6"/>
      <c r="P29" s="6"/>
      <c r="Q29" s="6"/>
      <c r="R29" s="6"/>
      <c r="S29" s="6"/>
      <c r="T29" s="6"/>
    </row>
  </sheetData>
  <sheetProtection algorithmName="SHA-512" hashValue="hNrhArz/8zticNyc1Wr5tE8rpQ7aSBu0tzSokyLk/dXUqx+c1oeJQmqD3pjuy9mDa9E3pcykCct8CMpQaXK++w==" saltValue="ceII+Css/yRdfiIe4zrBvw==" spinCount="100000" sheet="1" objects="1" scenarios="1" selectLockedCells="1" selectUnlockedCells="1"/>
  <mergeCells count="13">
    <mergeCell ref="B18:I18"/>
    <mergeCell ref="B20:I20"/>
    <mergeCell ref="C27:I27"/>
    <mergeCell ref="C28:I28"/>
    <mergeCell ref="C25:I25"/>
    <mergeCell ref="C24:I24"/>
    <mergeCell ref="C26:I26"/>
    <mergeCell ref="B14:I14"/>
    <mergeCell ref="B3:I3"/>
    <mergeCell ref="B4:I4"/>
    <mergeCell ref="B8:I8"/>
    <mergeCell ref="B10:I10"/>
    <mergeCell ref="B12:I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668B-A1BD-4B01-879E-96C1B89C411C}">
  <sheetPr codeName="Sheet14">
    <pageSetUpPr fitToPage="1"/>
  </sheetPr>
  <dimension ref="B2:V70"/>
  <sheetViews>
    <sheetView showGridLines="0" zoomScaleNormal="100" workbookViewId="0">
      <selection activeCell="F20" sqref="F20"/>
    </sheetView>
  </sheetViews>
  <sheetFormatPr defaultColWidth="10.140625" defaultRowHeight="16.5" x14ac:dyDescent="0.25"/>
  <cols>
    <col min="1" max="1" width="2.85546875" style="40" customWidth="1"/>
    <col min="2" max="2" width="2" style="40" customWidth="1"/>
    <col min="3" max="3" width="45.5703125" style="40" customWidth="1"/>
    <col min="4" max="4" width="15.7109375" style="40" bestFit="1" customWidth="1"/>
    <col min="5" max="5" width="14.42578125" style="41" customWidth="1"/>
    <col min="6" max="6" width="16.28515625" style="41" customWidth="1"/>
    <col min="7" max="7" width="16.28515625" style="85" customWidth="1"/>
    <col min="8" max="8" width="9" style="40" customWidth="1"/>
    <col min="9" max="9" width="35.140625" style="40" customWidth="1"/>
    <col min="10" max="11" width="15.28515625" style="40" customWidth="1"/>
    <col min="12" max="12" width="4.42578125" style="40" customWidth="1"/>
    <col min="13" max="13" width="28.7109375" style="40" bestFit="1" customWidth="1"/>
    <col min="14" max="14" width="9.85546875" style="40" customWidth="1"/>
    <col min="15" max="15" width="14" style="40" bestFit="1" customWidth="1"/>
    <col min="16" max="16384" width="10.140625" style="40"/>
  </cols>
  <sheetData>
    <row r="2" spans="2:22" s="41" customFormat="1" ht="25.5" x14ac:dyDescent="0.25">
      <c r="B2" s="102" t="s">
        <v>68</v>
      </c>
      <c r="C2" s="40"/>
      <c r="D2" s="1"/>
      <c r="E2" s="101"/>
      <c r="F2" s="101"/>
      <c r="G2" s="101"/>
      <c r="I2" s="102" t="s">
        <v>179</v>
      </c>
      <c r="U2" s="40"/>
      <c r="V2" s="89"/>
    </row>
    <row r="3" spans="2:22" s="41" customFormat="1" ht="12.75" customHeight="1" x14ac:dyDescent="0.25">
      <c r="B3" s="43"/>
      <c r="C3" s="40"/>
      <c r="D3" s="1"/>
      <c r="E3" s="1"/>
      <c r="F3" s="1"/>
      <c r="G3" s="1"/>
      <c r="L3" s="43"/>
      <c r="U3" s="40"/>
      <c r="V3" s="89"/>
    </row>
    <row r="4" spans="2:22" s="41" customFormat="1" ht="23.25" customHeight="1" thickBot="1" x14ac:dyDescent="0.3">
      <c r="B4" s="39"/>
      <c r="C4" s="103" t="s">
        <v>72</v>
      </c>
      <c r="D4" s="103" t="s">
        <v>3</v>
      </c>
      <c r="E4" s="104" t="s">
        <v>66</v>
      </c>
      <c r="F4" s="104" t="s">
        <v>67</v>
      </c>
      <c r="G4" s="86"/>
      <c r="I4" s="104" t="s">
        <v>71</v>
      </c>
      <c r="J4" s="104" t="s">
        <v>3</v>
      </c>
      <c r="U4" s="40"/>
      <c r="V4" s="89"/>
    </row>
    <row r="5" spans="2:22" ht="18.75" customHeight="1" thickTop="1" x14ac:dyDescent="0.25">
      <c r="C5" s="55" t="s">
        <v>214</v>
      </c>
      <c r="D5" s="55" t="s">
        <v>2</v>
      </c>
      <c r="E5" s="91">
        <v>0</v>
      </c>
      <c r="F5" s="91">
        <v>2300000</v>
      </c>
      <c r="G5" s="62"/>
      <c r="I5" s="49" t="s">
        <v>175</v>
      </c>
      <c r="J5" s="60">
        <f>'Cash Flow'!M13</f>
        <v>1.0522680144251264</v>
      </c>
      <c r="U5" s="42"/>
      <c r="V5" s="90"/>
    </row>
    <row r="6" spans="2:22" ht="14.25" customHeight="1" x14ac:dyDescent="0.25">
      <c r="C6" s="55" t="s">
        <v>57</v>
      </c>
      <c r="D6" s="55" t="s">
        <v>73</v>
      </c>
      <c r="E6" s="91">
        <v>0</v>
      </c>
      <c r="F6" s="92">
        <v>0.1</v>
      </c>
      <c r="G6" s="87"/>
      <c r="I6" s="49" t="s">
        <v>206</v>
      </c>
      <c r="J6" s="60">
        <f>'Cash Flow'!M12</f>
        <v>3.248894073112208E-2</v>
      </c>
    </row>
    <row r="7" spans="2:22" ht="16.5" customHeight="1" x14ac:dyDescent="0.25">
      <c r="C7" s="55" t="s">
        <v>110</v>
      </c>
      <c r="D7" s="55" t="s">
        <v>34</v>
      </c>
      <c r="E7" s="91">
        <v>45000</v>
      </c>
      <c r="F7" s="91">
        <v>45000</v>
      </c>
      <c r="G7" s="62"/>
      <c r="I7" s="49" t="s">
        <v>132</v>
      </c>
      <c r="J7" s="60">
        <f>'Cash Flow'!M11</f>
        <v>-0.25343642611683848</v>
      </c>
    </row>
    <row r="8" spans="2:22" ht="16.5" customHeight="1" x14ac:dyDescent="0.25">
      <c r="C8" s="55" t="s">
        <v>162</v>
      </c>
      <c r="D8" s="55" t="s">
        <v>6</v>
      </c>
      <c r="E8" s="91">
        <v>0</v>
      </c>
      <c r="F8" s="91">
        <v>0</v>
      </c>
      <c r="G8" s="62"/>
      <c r="I8" s="49" t="s">
        <v>100</v>
      </c>
      <c r="J8" s="60">
        <f>'Cash Flow'!M10</f>
        <v>0.1382444622077228</v>
      </c>
    </row>
    <row r="9" spans="2:22" ht="16.5" customHeight="1" x14ac:dyDescent="0.25">
      <c r="C9" s="55" t="s">
        <v>163</v>
      </c>
      <c r="D9" s="55" t="s">
        <v>1</v>
      </c>
      <c r="E9" s="92">
        <v>0</v>
      </c>
      <c r="F9" s="92">
        <v>0</v>
      </c>
      <c r="G9" s="62"/>
      <c r="I9" s="49" t="s">
        <v>170</v>
      </c>
      <c r="J9" s="60">
        <f>'Cash Flow'!M9</f>
        <v>-0.2633886626996555</v>
      </c>
    </row>
    <row r="10" spans="2:22" ht="16.5" customHeight="1" x14ac:dyDescent="0.25">
      <c r="C10" s="55" t="s">
        <v>219</v>
      </c>
      <c r="D10" s="55" t="s">
        <v>1</v>
      </c>
      <c r="E10" s="92">
        <v>0</v>
      </c>
      <c r="F10" s="92">
        <v>0</v>
      </c>
      <c r="G10" s="62"/>
      <c r="I10" s="49" t="s">
        <v>99</v>
      </c>
      <c r="J10" s="60">
        <f>'Cash Flow'!M8</f>
        <v>0</v>
      </c>
    </row>
    <row r="11" spans="2:22" ht="16.5" customHeight="1" x14ac:dyDescent="0.25">
      <c r="C11" s="55" t="s">
        <v>164</v>
      </c>
      <c r="D11" s="55" t="s">
        <v>7</v>
      </c>
      <c r="E11" s="91">
        <v>0</v>
      </c>
      <c r="F11" s="91">
        <v>0</v>
      </c>
      <c r="G11" s="62"/>
      <c r="I11" s="49" t="s">
        <v>98</v>
      </c>
      <c r="J11" s="60">
        <f>'Cash Flow'!M7</f>
        <v>7.5947934352009056E-2</v>
      </c>
    </row>
    <row r="12" spans="2:22" ht="18" customHeight="1" x14ac:dyDescent="0.25">
      <c r="C12" s="55" t="s">
        <v>76</v>
      </c>
      <c r="D12" s="55" t="s">
        <v>75</v>
      </c>
      <c r="E12" s="91">
        <v>22</v>
      </c>
      <c r="F12" s="91">
        <v>22</v>
      </c>
      <c r="G12" s="62"/>
      <c r="L12" s="47"/>
      <c r="M12" s="48"/>
    </row>
    <row r="13" spans="2:22" ht="15.75" customHeight="1" x14ac:dyDescent="0.25">
      <c r="C13" s="55" t="s">
        <v>82</v>
      </c>
      <c r="D13" s="55" t="s">
        <v>34</v>
      </c>
      <c r="E13" s="91">
        <f>E7*E12</f>
        <v>990000</v>
      </c>
      <c r="F13" s="91">
        <f>F7*F12</f>
        <v>990000</v>
      </c>
      <c r="G13" s="62"/>
      <c r="L13" s="47"/>
      <c r="M13" s="48"/>
    </row>
    <row r="14" spans="2:22" ht="16.5" customHeight="1" x14ac:dyDescent="0.25">
      <c r="C14" s="55" t="s">
        <v>77</v>
      </c>
      <c r="D14" s="55" t="s">
        <v>78</v>
      </c>
      <c r="E14" s="91">
        <v>11</v>
      </c>
      <c r="F14" s="91">
        <v>11</v>
      </c>
      <c r="G14" s="62"/>
      <c r="L14" s="47"/>
      <c r="M14" s="48"/>
    </row>
    <row r="15" spans="2:22" ht="15.75" customHeight="1" x14ac:dyDescent="0.25">
      <c r="C15" s="55" t="s">
        <v>79</v>
      </c>
      <c r="D15" s="55" t="s">
        <v>34</v>
      </c>
      <c r="E15" s="91">
        <f>E13*E14</f>
        <v>10890000</v>
      </c>
      <c r="F15" s="91">
        <f>F13*F14</f>
        <v>10890000</v>
      </c>
      <c r="G15" s="62"/>
    </row>
    <row r="16" spans="2:22" ht="17.25" customHeight="1" x14ac:dyDescent="0.25">
      <c r="C16" s="55" t="s">
        <v>109</v>
      </c>
      <c r="D16" s="55" t="s">
        <v>1</v>
      </c>
      <c r="E16" s="92">
        <v>7.0000000000000007E-2</v>
      </c>
      <c r="F16" s="92">
        <v>0.02</v>
      </c>
      <c r="G16" s="87"/>
    </row>
    <row r="17" spans="3:15" ht="15.75" customHeight="1" x14ac:dyDescent="0.25">
      <c r="C17" s="55" t="s">
        <v>74</v>
      </c>
      <c r="D17" s="55" t="s">
        <v>34</v>
      </c>
      <c r="E17" s="91">
        <f>E15-(E15*E16)</f>
        <v>10127700</v>
      </c>
      <c r="F17" s="91">
        <f>F15-(F15*F16)</f>
        <v>10672200</v>
      </c>
      <c r="G17" s="62"/>
    </row>
    <row r="18" spans="3:15" ht="16.5" customHeight="1" x14ac:dyDescent="0.25">
      <c r="C18" s="55" t="s">
        <v>81</v>
      </c>
      <c r="D18" s="55" t="s">
        <v>1</v>
      </c>
      <c r="E18" s="92">
        <v>0.05</v>
      </c>
      <c r="F18" s="92">
        <v>0.03</v>
      </c>
      <c r="G18" s="87"/>
    </row>
    <row r="19" spans="3:15" ht="15.75" customHeight="1" x14ac:dyDescent="0.25">
      <c r="C19" s="55" t="s">
        <v>80</v>
      </c>
      <c r="D19" s="55" t="s">
        <v>33</v>
      </c>
      <c r="E19" s="91">
        <f>E17-(E17*E18)</f>
        <v>9621315</v>
      </c>
      <c r="F19" s="91">
        <f>F17-(F17*F18)</f>
        <v>10352034</v>
      </c>
      <c r="G19" s="62"/>
    </row>
    <row r="20" spans="3:15" ht="15.75" customHeight="1" x14ac:dyDescent="0.25">
      <c r="C20" s="55" t="s">
        <v>69</v>
      </c>
      <c r="D20" s="55" t="s">
        <v>36</v>
      </c>
      <c r="E20" s="93">
        <v>2</v>
      </c>
      <c r="F20" s="93">
        <v>2</v>
      </c>
      <c r="G20" s="88"/>
    </row>
    <row r="21" spans="3:15" ht="15.75" customHeight="1" x14ac:dyDescent="0.25">
      <c r="C21" s="105"/>
      <c r="D21" s="106"/>
      <c r="E21" s="107"/>
      <c r="F21" s="107"/>
      <c r="G21" s="108"/>
    </row>
    <row r="22" spans="3:15" ht="15.75" customHeight="1" x14ac:dyDescent="0.25">
      <c r="C22" s="105"/>
      <c r="D22" s="106"/>
      <c r="E22" s="107"/>
      <c r="F22" s="107"/>
      <c r="G22" s="108"/>
    </row>
    <row r="23" spans="3:15" ht="15.75" customHeight="1" x14ac:dyDescent="0.25">
      <c r="C23" s="105"/>
      <c r="D23" s="106"/>
      <c r="E23" s="107"/>
      <c r="F23" s="107"/>
      <c r="G23" s="108"/>
    </row>
    <row r="24" spans="3:15" ht="15.75" customHeight="1" x14ac:dyDescent="0.25">
      <c r="C24" s="105"/>
      <c r="D24" s="106"/>
      <c r="E24" s="107"/>
      <c r="F24" s="107"/>
      <c r="G24" s="108"/>
    </row>
    <row r="25" spans="3:15" ht="21.75" customHeight="1" x14ac:dyDescent="0.25">
      <c r="C25" s="43" t="s">
        <v>140</v>
      </c>
      <c r="E25" s="40"/>
      <c r="F25" s="40"/>
      <c r="G25" s="89"/>
      <c r="I25" s="43" t="s">
        <v>102</v>
      </c>
    </row>
    <row r="26" spans="3:15" ht="9" customHeight="1" x14ac:dyDescent="0.25">
      <c r="C26" s="43"/>
      <c r="E26" s="40"/>
      <c r="F26" s="40"/>
      <c r="G26" s="89"/>
      <c r="I26" s="43"/>
    </row>
    <row r="27" spans="3:15" ht="14.25" customHeight="1" x14ac:dyDescent="0.25">
      <c r="C27" s="43"/>
      <c r="E27" s="40"/>
      <c r="F27" s="40"/>
      <c r="G27" s="89"/>
      <c r="I27" s="128" t="s">
        <v>171</v>
      </c>
      <c r="M27" s="128" t="s">
        <v>172</v>
      </c>
    </row>
    <row r="28" spans="3:15" ht="11.25" customHeight="1" x14ac:dyDescent="0.25">
      <c r="C28" s="43"/>
      <c r="E28" s="40"/>
      <c r="F28" s="40"/>
      <c r="G28" s="89"/>
    </row>
    <row r="29" spans="3:15" ht="17.25" customHeight="1" thickBot="1" x14ac:dyDescent="0.3">
      <c r="C29" s="103"/>
      <c r="D29" s="103" t="s">
        <v>3</v>
      </c>
      <c r="E29" s="104" t="s">
        <v>66</v>
      </c>
      <c r="F29" s="103" t="s">
        <v>67</v>
      </c>
      <c r="G29" s="103" t="s">
        <v>101</v>
      </c>
      <c r="I29" s="103" t="s">
        <v>72</v>
      </c>
      <c r="J29" s="103" t="s">
        <v>3</v>
      </c>
      <c r="K29" s="104" t="s">
        <v>4</v>
      </c>
      <c r="M29" s="103" t="s">
        <v>72</v>
      </c>
      <c r="N29" s="103" t="s">
        <v>3</v>
      </c>
      <c r="O29" s="104" t="s">
        <v>4</v>
      </c>
    </row>
    <row r="30" spans="3:15" ht="17.25" thickTop="1" x14ac:dyDescent="0.25">
      <c r="C30" s="55" t="s">
        <v>141</v>
      </c>
      <c r="D30" s="55" t="s">
        <v>144</v>
      </c>
      <c r="E30" s="56">
        <f>'Operating Variables'!D41/1000</f>
        <v>62209.397250000002</v>
      </c>
      <c r="F30" s="56">
        <f>'Operating Variables'!H41/1000</f>
        <v>60511.374000000003</v>
      </c>
      <c r="G30" s="129">
        <f>(E30-F30)/E30</f>
        <v>2.7295285359801462E-2</v>
      </c>
      <c r="I30" s="55" t="s">
        <v>103</v>
      </c>
      <c r="J30" s="55" t="s">
        <v>2</v>
      </c>
      <c r="K30" s="56">
        <f>'Business Case Evaluation'!C14</f>
        <v>3168066.5283621326</v>
      </c>
      <c r="L30" s="61"/>
      <c r="M30" s="55" t="s">
        <v>103</v>
      </c>
      <c r="N30" s="55" t="s">
        <v>2</v>
      </c>
      <c r="O30" s="56">
        <f>'Business Case Evaluation'!C19</f>
        <v>12219500.875</v>
      </c>
    </row>
    <row r="31" spans="3:15" ht="15" customHeight="1" x14ac:dyDescent="0.25">
      <c r="C31" s="55" t="s">
        <v>142</v>
      </c>
      <c r="D31" s="55" t="s">
        <v>144</v>
      </c>
      <c r="E31" s="56">
        <f>'Operating Variables'!D42/1000</f>
        <v>33497.367749999998</v>
      </c>
      <c r="F31" s="56">
        <f>'Operating Variables'!H42/1000</f>
        <v>6723.4859999999999</v>
      </c>
      <c r="G31" s="129">
        <f>(E31-F31)/E31</f>
        <v>0.79928315412186379</v>
      </c>
      <c r="I31" s="55" t="s">
        <v>56</v>
      </c>
      <c r="J31" s="55" t="s">
        <v>183</v>
      </c>
      <c r="K31" s="63">
        <f>'Business Case Evaluation'!C15</f>
        <v>2.3774202297226679</v>
      </c>
      <c r="L31" s="61"/>
      <c r="M31" s="55" t="s">
        <v>56</v>
      </c>
      <c r="N31" s="55" t="s">
        <v>183</v>
      </c>
      <c r="O31" s="63">
        <f>'Business Case Evaluation'!C20</f>
        <v>6.3128264673913046</v>
      </c>
    </row>
    <row r="32" spans="3:15" x14ac:dyDescent="0.25">
      <c r="C32" s="55" t="s">
        <v>146</v>
      </c>
      <c r="D32" s="55" t="s">
        <v>145</v>
      </c>
      <c r="E32" s="56">
        <f>(E30*0.096567)+(E31*0.095067)</f>
        <v>9191.8691241300003</v>
      </c>
      <c r="F32" s="56">
        <f>(F30*0.096567)+(F31*0.095067)</f>
        <v>6482.5834966200009</v>
      </c>
      <c r="G32" s="129">
        <f>(E32-F32)/E32</f>
        <v>0.29474806385109731</v>
      </c>
      <c r="I32" s="55" t="s">
        <v>105</v>
      </c>
      <c r="J32" s="55" t="s">
        <v>97</v>
      </c>
      <c r="K32" s="63">
        <f>'Business Case Evaluation'!C16</f>
        <v>1.5944958834015874</v>
      </c>
      <c r="L32" s="45"/>
      <c r="M32" s="55" t="s">
        <v>105</v>
      </c>
      <c r="N32" s="55" t="s">
        <v>97</v>
      </c>
      <c r="O32" s="63">
        <f>'Business Case Evaluation'!C21</f>
        <v>0.79203824559843905</v>
      </c>
    </row>
    <row r="33" spans="5:13" ht="18" customHeight="1" x14ac:dyDescent="0.25">
      <c r="E33" s="40"/>
      <c r="F33" s="40"/>
      <c r="G33" s="40"/>
      <c r="L33" s="45"/>
    </row>
    <row r="34" spans="5:13" ht="23.25" customHeight="1" x14ac:dyDescent="0.25">
      <c r="E34" s="40"/>
      <c r="F34" s="40"/>
      <c r="G34" s="40"/>
      <c r="L34" s="45"/>
      <c r="M34" s="46"/>
    </row>
    <row r="35" spans="5:13" ht="21" customHeight="1" x14ac:dyDescent="0.25">
      <c r="E35" s="40"/>
      <c r="F35" s="40"/>
      <c r="G35" s="40"/>
      <c r="L35" s="45"/>
    </row>
    <row r="36" spans="5:13" x14ac:dyDescent="0.25">
      <c r="E36" s="40"/>
      <c r="F36" s="40"/>
      <c r="G36" s="40"/>
      <c r="L36" s="45"/>
    </row>
    <row r="37" spans="5:13" ht="21" customHeight="1" x14ac:dyDescent="0.25">
      <c r="E37" s="40"/>
      <c r="F37" s="40"/>
      <c r="G37" s="40"/>
      <c r="L37" s="44"/>
    </row>
    <row r="38" spans="5:13" x14ac:dyDescent="0.25">
      <c r="E38" s="40"/>
      <c r="F38" s="40"/>
      <c r="G38" s="40"/>
    </row>
    <row r="61" spans="5:7" ht="28.5" x14ac:dyDescent="0.25">
      <c r="E61" s="43" t="s">
        <v>102</v>
      </c>
      <c r="F61" s="40"/>
      <c r="G61" s="40"/>
    </row>
    <row r="62" spans="5:7" ht="28.5" x14ac:dyDescent="0.25">
      <c r="E62" s="43"/>
      <c r="F62" s="40"/>
      <c r="G62" s="40"/>
    </row>
    <row r="63" spans="5:7" ht="28.5" x14ac:dyDescent="0.25">
      <c r="E63" s="43"/>
      <c r="F63" s="40"/>
      <c r="G63" s="40"/>
    </row>
    <row r="64" spans="5:7" x14ac:dyDescent="0.25">
      <c r="E64" s="40"/>
      <c r="F64" s="40"/>
      <c r="G64" s="40"/>
    </row>
    <row r="65" spans="5:7" ht="20.25" customHeight="1" x14ac:dyDescent="0.25">
      <c r="E65" s="40"/>
      <c r="F65" s="40"/>
      <c r="G65" s="40"/>
    </row>
    <row r="66" spans="5:7" x14ac:dyDescent="0.25">
      <c r="E66" s="40"/>
      <c r="F66" s="40"/>
      <c r="G66" s="40"/>
    </row>
    <row r="67" spans="5:7" x14ac:dyDescent="0.25">
      <c r="E67" s="40"/>
      <c r="F67" s="40"/>
      <c r="G67" s="40"/>
    </row>
    <row r="68" spans="5:7" x14ac:dyDescent="0.25">
      <c r="E68" s="40"/>
      <c r="F68" s="40"/>
      <c r="G68" s="40"/>
    </row>
    <row r="69" spans="5:7" x14ac:dyDescent="0.25">
      <c r="E69" s="40"/>
      <c r="F69" s="40"/>
      <c r="G69" s="40"/>
    </row>
    <row r="70" spans="5:7" x14ac:dyDescent="0.25">
      <c r="E70" s="40"/>
      <c r="F70" s="40"/>
      <c r="G70" s="40"/>
    </row>
  </sheetData>
  <sheetProtection algorithmName="SHA-512" hashValue="s2ETySnjXF6rbloKVodzFl3omX8GBhDEY1gDp9uqCSDkyR4cPQxIoCUgoHxHs8UGhy7gOL0uHtdsemGVbGJPWw==" saltValue="9pdH2S6aa/n+N+EgYGMiRg==" spinCount="100000" sheet="1" objects="1" scenarios="1" selectLockedCells="1"/>
  <pageMargins left="0.7" right="0.7" top="0.75" bottom="0.75" header="0.3" footer="0.3"/>
  <pageSetup paperSize="9"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F300-77E3-425F-AF6A-F03B36CF1C18}">
  <dimension ref="A2:EX186"/>
  <sheetViews>
    <sheetView zoomScaleNormal="100" workbookViewId="0">
      <selection activeCell="H13" sqref="H13"/>
    </sheetView>
  </sheetViews>
  <sheetFormatPr defaultColWidth="9.140625" defaultRowHeight="15" x14ac:dyDescent="0.25"/>
  <cols>
    <col min="1" max="1" width="2.85546875" style="1" customWidth="1"/>
    <col min="2" max="2" width="63.28515625" style="1" bestFit="1" customWidth="1"/>
    <col min="3" max="3" width="16.85546875" style="1" customWidth="1"/>
    <col min="4" max="4" width="15.5703125" style="30" bestFit="1" customWidth="1"/>
    <col min="5" max="5" width="3.140625" style="20" customWidth="1"/>
    <col min="6" max="6" width="63.28515625" style="20" bestFit="1" customWidth="1"/>
    <col min="7" max="7" width="16.42578125" style="1" bestFit="1" customWidth="1"/>
    <col min="8" max="8" width="13.42578125" style="1" customWidth="1"/>
    <col min="9" max="9" width="5" style="1" customWidth="1"/>
    <col min="10" max="10" width="132.7109375" style="1" bestFit="1" customWidth="1"/>
    <col min="11" max="16384" width="9.140625" style="1"/>
  </cols>
  <sheetData>
    <row r="2" spans="1:154" ht="25.5" x14ac:dyDescent="0.25">
      <c r="B2" s="102" t="s">
        <v>165</v>
      </c>
    </row>
    <row r="4" spans="1:154" ht="18" customHeight="1" x14ac:dyDescent="0.25">
      <c r="B4" s="65" t="s">
        <v>189</v>
      </c>
      <c r="C4" s="65" t="s">
        <v>3</v>
      </c>
      <c r="D4" s="66" t="s">
        <v>4</v>
      </c>
      <c r="F4" s="65" t="s">
        <v>190</v>
      </c>
      <c r="G4" s="65" t="s">
        <v>3</v>
      </c>
      <c r="H4" s="66" t="s">
        <v>4</v>
      </c>
      <c r="J4" s="67" t="s">
        <v>49</v>
      </c>
    </row>
    <row r="5" spans="1:154" s="26" customFormat="1" ht="9.75" customHeight="1" x14ac:dyDescent="0.25">
      <c r="A5" s="1"/>
      <c r="B5" s="35"/>
      <c r="C5" s="35"/>
      <c r="D5" s="36"/>
      <c r="E5" s="20"/>
      <c r="F5" s="35"/>
      <c r="G5" s="35"/>
      <c r="H5" s="3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row>
    <row r="6" spans="1:154" s="26" customFormat="1" ht="18" customHeight="1" x14ac:dyDescent="0.25">
      <c r="A6" s="1"/>
      <c r="B6" s="31" t="s">
        <v>84</v>
      </c>
      <c r="C6" s="31"/>
      <c r="D6" s="32"/>
      <c r="E6" s="20"/>
      <c r="F6" s="31" t="s">
        <v>84</v>
      </c>
      <c r="G6" s="31"/>
      <c r="H6" s="3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row>
    <row r="7" spans="1:154" s="26" customFormat="1" ht="13.5" customHeight="1" x14ac:dyDescent="0.25">
      <c r="A7" s="1"/>
      <c r="B7" s="33" t="s">
        <v>113</v>
      </c>
      <c r="C7" s="33" t="s">
        <v>33</v>
      </c>
      <c r="D7" s="34">
        <f>'Headline Inputs '!E7</f>
        <v>45000</v>
      </c>
      <c r="E7" s="20"/>
      <c r="F7" s="33" t="s">
        <v>113</v>
      </c>
      <c r="G7" s="33" t="s">
        <v>33</v>
      </c>
      <c r="H7" s="34">
        <f>'Headline Inputs '!F7</f>
        <v>45000</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row>
    <row r="8" spans="1:154" s="26" customFormat="1" ht="13.5" customHeight="1" x14ac:dyDescent="0.25">
      <c r="A8" s="1"/>
      <c r="B8" s="33" t="s">
        <v>35</v>
      </c>
      <c r="C8" s="33" t="s">
        <v>33</v>
      </c>
      <c r="D8" s="34">
        <f>'Headline Inputs '!E12</f>
        <v>22</v>
      </c>
      <c r="E8" s="20"/>
      <c r="F8" s="33" t="s">
        <v>35</v>
      </c>
      <c r="G8" s="33" t="s">
        <v>33</v>
      </c>
      <c r="H8" s="34">
        <f>'Headline Inputs '!F12</f>
        <v>22</v>
      </c>
      <c r="I8" s="1"/>
      <c r="J8" s="1" t="s">
        <v>155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row>
    <row r="9" spans="1:154" s="26" customFormat="1" ht="13.5" customHeight="1" x14ac:dyDescent="0.25">
      <c r="A9" s="1"/>
      <c r="B9" s="33" t="s">
        <v>21</v>
      </c>
      <c r="C9" s="33" t="s">
        <v>33</v>
      </c>
      <c r="D9" s="34">
        <f>'Headline Inputs '!E13</f>
        <v>990000</v>
      </c>
      <c r="E9" s="20"/>
      <c r="F9" s="33" t="s">
        <v>21</v>
      </c>
      <c r="G9" s="33" t="s">
        <v>33</v>
      </c>
      <c r="H9" s="34">
        <f>'Headline Inputs '!F13</f>
        <v>990000</v>
      </c>
      <c r="I9" s="1"/>
      <c r="J9" s="10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row>
    <row r="10" spans="1:154" s="26" customFormat="1" ht="13.5" customHeight="1" x14ac:dyDescent="0.25">
      <c r="A10" s="1"/>
      <c r="B10" s="33" t="s">
        <v>83</v>
      </c>
      <c r="C10" s="33" t="s">
        <v>33</v>
      </c>
      <c r="D10" s="34">
        <f>'Headline Inputs '!E14</f>
        <v>11</v>
      </c>
      <c r="E10" s="20"/>
      <c r="F10" s="33" t="s">
        <v>83</v>
      </c>
      <c r="G10" s="33" t="s">
        <v>33</v>
      </c>
      <c r="H10" s="34">
        <f>'Headline Inputs '!F14</f>
        <v>11</v>
      </c>
      <c r="I10" s="1"/>
      <c r="J10" s="109"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row>
    <row r="11" spans="1:154" s="26" customFormat="1" ht="13.5" customHeight="1" x14ac:dyDescent="0.25">
      <c r="A11" s="1"/>
      <c r="B11" s="33" t="s">
        <v>112</v>
      </c>
      <c r="C11" s="33" t="s">
        <v>33</v>
      </c>
      <c r="D11" s="34">
        <f>'Headline Inputs '!E15</f>
        <v>10890000</v>
      </c>
      <c r="E11" s="20"/>
      <c r="F11" s="33" t="s">
        <v>112</v>
      </c>
      <c r="G11" s="33" t="s">
        <v>33</v>
      </c>
      <c r="H11" s="34">
        <f>'Headline Inputs '!F15</f>
        <v>10890000</v>
      </c>
      <c r="I11" s="1"/>
      <c r="J11" s="109"/>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row>
    <row r="12" spans="1:154" s="26" customFormat="1" ht="14.25" customHeight="1" x14ac:dyDescent="0.25">
      <c r="A12" s="1"/>
      <c r="B12" s="80" t="s">
        <v>148</v>
      </c>
      <c r="C12" s="80" t="s">
        <v>6</v>
      </c>
      <c r="D12" s="81">
        <v>3.5</v>
      </c>
      <c r="E12" s="20"/>
      <c r="F12" s="80" t="s">
        <v>148</v>
      </c>
      <c r="G12" s="77" t="s">
        <v>6</v>
      </c>
      <c r="H12" s="81">
        <v>3.5</v>
      </c>
      <c r="I12" s="1"/>
      <c r="J12" s="83"/>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row>
    <row r="13" spans="1:154" s="26" customFormat="1" ht="14.25" customHeight="1" x14ac:dyDescent="0.25">
      <c r="A13" s="1"/>
      <c r="B13" s="80" t="s">
        <v>128</v>
      </c>
      <c r="C13" s="80" t="s">
        <v>1</v>
      </c>
      <c r="D13" s="82">
        <v>0.1</v>
      </c>
      <c r="E13" s="20"/>
      <c r="F13" s="77" t="s">
        <v>128</v>
      </c>
      <c r="G13" s="77" t="s">
        <v>1</v>
      </c>
      <c r="H13" s="82">
        <v>0.1</v>
      </c>
      <c r="I13" s="1"/>
      <c r="J13" s="83"/>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row>
    <row r="14" spans="1:154" s="26" customFormat="1" ht="14.25" customHeight="1" x14ac:dyDescent="0.25">
      <c r="A14" s="1"/>
      <c r="B14" s="80" t="s">
        <v>147</v>
      </c>
      <c r="C14" s="80" t="s">
        <v>6</v>
      </c>
      <c r="D14" s="81">
        <f>D12-(D12*D13)</f>
        <v>3.15</v>
      </c>
      <c r="E14" s="20"/>
      <c r="F14" s="80" t="s">
        <v>147</v>
      </c>
      <c r="G14" s="77" t="s">
        <v>6</v>
      </c>
      <c r="H14" s="81">
        <f>H12-(H12*H13)</f>
        <v>3.15</v>
      </c>
      <c r="I14" s="1"/>
      <c r="J14" s="83"/>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row>
    <row r="15" spans="1:154" s="26" customFormat="1" ht="16.5" customHeight="1" x14ac:dyDescent="0.25">
      <c r="A15" s="1"/>
      <c r="B15" s="49" t="s">
        <v>24</v>
      </c>
      <c r="C15" s="49" t="s">
        <v>1</v>
      </c>
      <c r="D15" s="51">
        <f>'Headline Inputs '!E16</f>
        <v>7.0000000000000007E-2</v>
      </c>
      <c r="E15" s="20"/>
      <c r="F15" s="49" t="s">
        <v>24</v>
      </c>
      <c r="G15" s="49" t="s">
        <v>1</v>
      </c>
      <c r="H15" s="51">
        <f>'Headline Inputs '!F16</f>
        <v>0.02</v>
      </c>
      <c r="I15" s="1"/>
      <c r="J15" s="1" t="s">
        <v>117</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row>
    <row r="16" spans="1:154" s="26" customFormat="1" ht="15.75" customHeight="1" x14ac:dyDescent="0.25">
      <c r="A16" s="1"/>
      <c r="B16" s="49" t="s">
        <v>22</v>
      </c>
      <c r="C16" s="49" t="s">
        <v>33</v>
      </c>
      <c r="D16" s="52">
        <f>'Headline Inputs '!E17</f>
        <v>10127700</v>
      </c>
      <c r="E16" s="20"/>
      <c r="F16" s="49" t="s">
        <v>22</v>
      </c>
      <c r="G16" s="49" t="s">
        <v>33</v>
      </c>
      <c r="H16" s="52">
        <f>'Headline Inputs '!F17</f>
        <v>10672200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row>
    <row r="17" spans="1:154" s="26" customFormat="1" ht="18" customHeight="1" x14ac:dyDescent="0.25">
      <c r="A17" s="1"/>
      <c r="B17" s="49" t="s">
        <v>23</v>
      </c>
      <c r="C17" s="49" t="s">
        <v>1</v>
      </c>
      <c r="D17" s="51">
        <f>'Headline Inputs '!E18</f>
        <v>0.05</v>
      </c>
      <c r="E17" s="20"/>
      <c r="F17" s="49" t="s">
        <v>23</v>
      </c>
      <c r="G17" s="49" t="s">
        <v>1</v>
      </c>
      <c r="H17" s="51">
        <f>'Headline Inputs '!F18</f>
        <v>0.03</v>
      </c>
      <c r="I17" s="1"/>
      <c r="J17" s="8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row>
    <row r="18" spans="1:154" s="26" customFormat="1" ht="18" customHeight="1" x14ac:dyDescent="0.25">
      <c r="A18" s="1"/>
      <c r="B18" s="53" t="s">
        <v>85</v>
      </c>
      <c r="C18" s="53" t="s">
        <v>34</v>
      </c>
      <c r="D18" s="54">
        <f>'Headline Inputs '!E19</f>
        <v>9621315</v>
      </c>
      <c r="E18" s="20"/>
      <c r="F18" s="53" t="s">
        <v>85</v>
      </c>
      <c r="G18" s="53" t="s">
        <v>34</v>
      </c>
      <c r="H18" s="54">
        <f>'Headline Inputs '!F19</f>
        <v>10352034</v>
      </c>
      <c r="I18" s="1"/>
      <c r="J18" s="109"/>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row>
    <row r="19" spans="1:154" s="26" customFormat="1" ht="8.25" customHeight="1" x14ac:dyDescent="0.25">
      <c r="A19" s="1"/>
      <c r="B19" s="49"/>
      <c r="C19" s="49"/>
      <c r="D19" s="52"/>
      <c r="E19" s="20"/>
      <c r="F19" s="49"/>
      <c r="G19" s="49"/>
      <c r="H19" s="52"/>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row>
    <row r="20" spans="1:154" s="26" customFormat="1" ht="18" customHeight="1" x14ac:dyDescent="0.25">
      <c r="A20" s="1"/>
      <c r="B20" s="53" t="s">
        <v>26</v>
      </c>
      <c r="C20" s="53"/>
      <c r="D20" s="54"/>
      <c r="E20" s="20"/>
      <c r="F20" s="53" t="s">
        <v>26</v>
      </c>
      <c r="G20" s="53"/>
      <c r="H20" s="5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row>
    <row r="21" spans="1:154" s="26" customFormat="1" ht="15" customHeight="1" x14ac:dyDescent="0.25">
      <c r="A21" s="1"/>
      <c r="B21" s="49" t="s">
        <v>86</v>
      </c>
      <c r="C21" s="49" t="s">
        <v>36</v>
      </c>
      <c r="D21" s="50">
        <f>'Headline Inputs '!E20</f>
        <v>2</v>
      </c>
      <c r="E21" s="20"/>
      <c r="F21" s="55" t="s">
        <v>86</v>
      </c>
      <c r="G21" s="55" t="s">
        <v>36</v>
      </c>
      <c r="H21" s="50">
        <f>'Headline Inputs '!F20</f>
        <v>2</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row>
    <row r="22" spans="1:154" s="26" customFormat="1" ht="9.75" customHeight="1" x14ac:dyDescent="0.25">
      <c r="A22" s="1"/>
      <c r="B22" s="35"/>
      <c r="C22" s="35"/>
      <c r="D22" s="36"/>
      <c r="E22" s="20"/>
      <c r="F22" s="35"/>
      <c r="G22" s="35"/>
      <c r="H22" s="36"/>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row>
    <row r="23" spans="1:154" s="26" customFormat="1" ht="18" customHeight="1" x14ac:dyDescent="0.25">
      <c r="A23" s="1"/>
      <c r="B23" s="53" t="s">
        <v>186</v>
      </c>
      <c r="C23" s="53"/>
      <c r="D23" s="54"/>
      <c r="E23" s="20"/>
      <c r="F23" s="53" t="s">
        <v>186</v>
      </c>
      <c r="G23" s="53"/>
      <c r="H23" s="5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row>
    <row r="24" spans="1:154" s="26" customFormat="1" ht="14.25" customHeight="1" x14ac:dyDescent="0.25">
      <c r="A24" s="1"/>
      <c r="B24" s="49" t="s">
        <v>125</v>
      </c>
      <c r="C24" s="49" t="s">
        <v>6</v>
      </c>
      <c r="D24" s="52">
        <f>D11*D12</f>
        <v>38115000</v>
      </c>
      <c r="E24" s="20"/>
      <c r="F24" s="49" t="s">
        <v>125</v>
      </c>
      <c r="G24" s="49" t="s">
        <v>6</v>
      </c>
      <c r="H24" s="52">
        <f>H11*H12</f>
        <v>38115000</v>
      </c>
      <c r="I24" s="1"/>
      <c r="J24" s="1" t="s">
        <v>129</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row>
    <row r="25" spans="1:154" s="26" customFormat="1" ht="15" customHeight="1" x14ac:dyDescent="0.25">
      <c r="A25" s="1"/>
      <c r="B25" s="49" t="s">
        <v>126</v>
      </c>
      <c r="C25" s="49" t="s">
        <v>70</v>
      </c>
      <c r="D25" s="52">
        <f>D24/1800</f>
        <v>21175</v>
      </c>
      <c r="E25" s="20"/>
      <c r="F25" s="49" t="s">
        <v>126</v>
      </c>
      <c r="G25" s="49" t="s">
        <v>70</v>
      </c>
      <c r="H25" s="52">
        <f>H24/1800</f>
        <v>21175</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row>
    <row r="26" spans="1:154" s="26" customFormat="1" ht="15" customHeight="1" x14ac:dyDescent="0.25">
      <c r="A26" s="1"/>
      <c r="B26" s="49" t="s">
        <v>124</v>
      </c>
      <c r="C26" s="49" t="s">
        <v>6</v>
      </c>
      <c r="D26" s="52">
        <f>D16*D14</f>
        <v>31902255</v>
      </c>
      <c r="E26" s="20"/>
      <c r="F26" s="49" t="s">
        <v>124</v>
      </c>
      <c r="G26" s="49" t="s">
        <v>6</v>
      </c>
      <c r="H26" s="52">
        <f>H16*H14</f>
        <v>33617430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row>
    <row r="27" spans="1:154" s="26" customFormat="1" ht="15" customHeight="1" x14ac:dyDescent="0.25">
      <c r="A27" s="1"/>
      <c r="B27" s="49" t="s">
        <v>127</v>
      </c>
      <c r="C27" s="49" t="s">
        <v>70</v>
      </c>
      <c r="D27" s="52">
        <f>D26/1800</f>
        <v>17723.474999999999</v>
      </c>
      <c r="E27" s="20"/>
      <c r="F27" s="49" t="s">
        <v>127</v>
      </c>
      <c r="G27" s="49" t="s">
        <v>70</v>
      </c>
      <c r="H27" s="52">
        <f>H26/1746</f>
        <v>19253.969072164949</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row>
    <row r="28" spans="1:154" s="26" customFormat="1" ht="9" customHeight="1" x14ac:dyDescent="0.25">
      <c r="A28" s="1"/>
      <c r="B28" s="49"/>
      <c r="C28" s="49"/>
      <c r="D28" s="52"/>
      <c r="E28" s="20"/>
      <c r="F28" s="49"/>
      <c r="G28" s="49"/>
      <c r="H28" s="52"/>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row>
    <row r="29" spans="1:154" s="26" customFormat="1" ht="22.5" customHeight="1" x14ac:dyDescent="0.25">
      <c r="A29" s="1"/>
      <c r="B29" s="53" t="s">
        <v>37</v>
      </c>
      <c r="C29" s="49"/>
      <c r="D29" s="52"/>
      <c r="E29" s="20"/>
      <c r="F29" s="53" t="s">
        <v>37</v>
      </c>
      <c r="G29" s="49"/>
      <c r="H29" s="52"/>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row>
    <row r="30" spans="1:154" s="26" customFormat="1" ht="14.25" customHeight="1" x14ac:dyDescent="0.25">
      <c r="A30" s="1"/>
      <c r="B30" s="77" t="s">
        <v>38</v>
      </c>
      <c r="C30" s="77" t="s">
        <v>39</v>
      </c>
      <c r="D30" s="81">
        <v>40</v>
      </c>
      <c r="E30" s="20"/>
      <c r="F30" s="77" t="s">
        <v>38</v>
      </c>
      <c r="G30" s="77" t="s">
        <v>39</v>
      </c>
      <c r="H30" s="81">
        <v>40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row>
    <row r="31" spans="1:154" s="26" customFormat="1" ht="8.25" customHeight="1" x14ac:dyDescent="0.25">
      <c r="A31" s="1"/>
      <c r="B31" s="49"/>
      <c r="C31" s="49"/>
      <c r="D31" s="52"/>
      <c r="E31" s="20"/>
      <c r="F31" s="49"/>
      <c r="G31" s="49"/>
      <c r="H31" s="52"/>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row>
    <row r="32" spans="1:154" s="26" customFormat="1" ht="18" customHeight="1" x14ac:dyDescent="0.25">
      <c r="A32" s="1"/>
      <c r="B32" s="53" t="s">
        <v>20</v>
      </c>
      <c r="C32" s="53"/>
      <c r="D32" s="54"/>
      <c r="E32" s="20"/>
      <c r="F32" s="53" t="s">
        <v>20</v>
      </c>
      <c r="G32" s="53"/>
      <c r="H32" s="5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row>
    <row r="33" spans="1:154" s="26" customFormat="1" ht="13.5" customHeight="1" x14ac:dyDescent="0.25">
      <c r="A33" s="1"/>
      <c r="B33" s="77" t="s">
        <v>111</v>
      </c>
      <c r="C33" s="77" t="s">
        <v>40</v>
      </c>
      <c r="D33" s="94">
        <v>3</v>
      </c>
      <c r="E33" s="20"/>
      <c r="F33" s="77" t="s">
        <v>111</v>
      </c>
      <c r="G33" s="77" t="s">
        <v>40</v>
      </c>
      <c r="H33" s="94">
        <v>2</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row>
    <row r="34" spans="1:154" s="26" customFormat="1" ht="15" customHeight="1" x14ac:dyDescent="0.25">
      <c r="A34" s="1"/>
      <c r="B34" s="49" t="s">
        <v>87</v>
      </c>
      <c r="C34" s="49" t="s">
        <v>17</v>
      </c>
      <c r="D34" s="52">
        <f>D26*D33</f>
        <v>95706765</v>
      </c>
      <c r="E34" s="20"/>
      <c r="F34" s="49" t="s">
        <v>87</v>
      </c>
      <c r="G34" s="49" t="s">
        <v>17</v>
      </c>
      <c r="H34" s="52">
        <f>H26*H33</f>
        <v>67234860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1:154" s="26" customFormat="1" ht="6.75" customHeight="1" x14ac:dyDescent="0.25">
      <c r="A35" s="1"/>
      <c r="B35" s="49"/>
      <c r="C35" s="49"/>
      <c r="D35" s="52"/>
      <c r="E35" s="20"/>
      <c r="F35" s="49"/>
      <c r="G35" s="49"/>
      <c r="H35" s="52"/>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1:154" s="26" customFormat="1" ht="18" customHeight="1" x14ac:dyDescent="0.25">
      <c r="A36" s="1"/>
      <c r="B36" s="53" t="s">
        <v>19</v>
      </c>
      <c r="C36" s="53"/>
      <c r="D36" s="54"/>
      <c r="E36" s="20"/>
      <c r="F36" s="53" t="s">
        <v>19</v>
      </c>
      <c r="G36" s="53"/>
      <c r="H36" s="5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row>
    <row r="37" spans="1:154" s="26" customFormat="1" ht="13.5" customHeight="1" x14ac:dyDescent="0.25">
      <c r="A37" s="1"/>
      <c r="B37" s="77" t="s">
        <v>151</v>
      </c>
      <c r="C37" s="77" t="s">
        <v>149</v>
      </c>
      <c r="D37" s="82">
        <v>0.65</v>
      </c>
      <c r="E37" s="20"/>
      <c r="F37" s="77" t="s">
        <v>151</v>
      </c>
      <c r="G37" s="77" t="s">
        <v>149</v>
      </c>
      <c r="H37" s="82">
        <v>0.9</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row>
    <row r="38" spans="1:154" s="26" customFormat="1" ht="13.5" customHeight="1" x14ac:dyDescent="0.25">
      <c r="A38" s="1"/>
      <c r="B38" s="77" t="s">
        <v>152</v>
      </c>
      <c r="C38" s="77" t="s">
        <v>150</v>
      </c>
      <c r="D38" s="82">
        <v>0.35</v>
      </c>
      <c r="E38" s="20"/>
      <c r="F38" s="77" t="s">
        <v>152</v>
      </c>
      <c r="G38" s="77" t="s">
        <v>150</v>
      </c>
      <c r="H38" s="82">
        <v>0.1</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row>
    <row r="39" spans="1:154" s="26" customFormat="1" ht="9" customHeight="1" x14ac:dyDescent="0.25">
      <c r="A39" s="1"/>
      <c r="B39" s="49"/>
      <c r="C39" s="49"/>
      <c r="D39" s="52"/>
      <c r="E39" s="20"/>
      <c r="F39" s="49"/>
      <c r="G39" s="49"/>
      <c r="H39" s="52"/>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row>
    <row r="40" spans="1:154" s="26" customFormat="1" ht="18" customHeight="1" x14ac:dyDescent="0.25">
      <c r="A40" s="1"/>
      <c r="B40" s="53" t="s">
        <v>187</v>
      </c>
      <c r="C40" s="53"/>
      <c r="D40" s="54"/>
      <c r="E40" s="20"/>
      <c r="F40" s="53" t="s">
        <v>187</v>
      </c>
      <c r="G40" s="53"/>
      <c r="H40" s="5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row>
    <row r="41" spans="1:154" ht="15" customHeight="1" x14ac:dyDescent="0.25">
      <c r="B41" s="49" t="s">
        <v>151</v>
      </c>
      <c r="C41" s="49" t="s">
        <v>17</v>
      </c>
      <c r="D41" s="52">
        <f>$D$34*D37</f>
        <v>62209397.25</v>
      </c>
      <c r="F41" s="49" t="s">
        <v>151</v>
      </c>
      <c r="G41" s="49" t="s">
        <v>17</v>
      </c>
      <c r="H41" s="52">
        <f>$H$34*H37</f>
        <v>60511374</v>
      </c>
    </row>
    <row r="42" spans="1:154" ht="14.25" customHeight="1" x14ac:dyDescent="0.25">
      <c r="B42" s="49" t="s">
        <v>152</v>
      </c>
      <c r="C42" s="49" t="s">
        <v>17</v>
      </c>
      <c r="D42" s="52">
        <f>$D$34*D38</f>
        <v>33497367.749999996</v>
      </c>
      <c r="F42" s="49" t="s">
        <v>152</v>
      </c>
      <c r="G42" s="49" t="s">
        <v>17</v>
      </c>
      <c r="H42" s="52">
        <f>$H$34*H38</f>
        <v>6723486</v>
      </c>
    </row>
    <row r="43" spans="1:154" ht="9.75" customHeight="1" x14ac:dyDescent="0.25">
      <c r="B43" s="49"/>
      <c r="C43" s="49"/>
      <c r="D43" s="52"/>
      <c r="F43" s="49"/>
      <c r="G43" s="49"/>
      <c r="H43" s="52"/>
    </row>
    <row r="44" spans="1:154" ht="21" customHeight="1" x14ac:dyDescent="0.25">
      <c r="B44" s="53" t="s">
        <v>25</v>
      </c>
      <c r="C44" s="53"/>
      <c r="D44" s="54"/>
      <c r="F44" s="53" t="s">
        <v>25</v>
      </c>
      <c r="G44" s="53"/>
      <c r="H44" s="54"/>
    </row>
    <row r="45" spans="1:154" ht="15" customHeight="1" x14ac:dyDescent="0.25">
      <c r="B45" s="77" t="s">
        <v>153</v>
      </c>
      <c r="C45" s="77" t="s">
        <v>5</v>
      </c>
      <c r="D45" s="95">
        <v>18</v>
      </c>
      <c r="F45" s="77" t="s">
        <v>153</v>
      </c>
      <c r="G45" s="77" t="s">
        <v>5</v>
      </c>
      <c r="H45" s="95">
        <v>18</v>
      </c>
    </row>
    <row r="46" spans="1:154" ht="14.25" customHeight="1" x14ac:dyDescent="0.25">
      <c r="B46" s="77" t="s">
        <v>154</v>
      </c>
      <c r="C46" s="77" t="s">
        <v>5</v>
      </c>
      <c r="D46" s="95">
        <v>25</v>
      </c>
      <c r="F46" s="77" t="s">
        <v>154</v>
      </c>
      <c r="G46" s="77" t="s">
        <v>5</v>
      </c>
      <c r="H46" s="95">
        <v>25</v>
      </c>
    </row>
    <row r="47" spans="1:154" ht="9" customHeight="1" x14ac:dyDescent="0.25">
      <c r="B47" s="49"/>
      <c r="C47" s="49"/>
      <c r="D47" s="52"/>
      <c r="F47" s="49"/>
      <c r="G47" s="49"/>
      <c r="H47" s="52"/>
    </row>
    <row r="48" spans="1:154" ht="22.5" customHeight="1" x14ac:dyDescent="0.25">
      <c r="B48" s="53" t="s">
        <v>185</v>
      </c>
      <c r="C48" s="53"/>
      <c r="D48" s="54"/>
      <c r="F48" s="53" t="s">
        <v>185</v>
      </c>
      <c r="G48" s="53"/>
      <c r="H48" s="54"/>
    </row>
    <row r="49" spans="2:10" ht="15" customHeight="1" x14ac:dyDescent="0.25">
      <c r="B49" s="49" t="s">
        <v>153</v>
      </c>
      <c r="C49" s="49" t="s">
        <v>41</v>
      </c>
      <c r="D49" s="52">
        <f>D41/D45/1000</f>
        <v>3456.0776249999999</v>
      </c>
      <c r="F49" s="49" t="s">
        <v>153</v>
      </c>
      <c r="G49" s="49" t="s">
        <v>41</v>
      </c>
      <c r="H49" s="52">
        <f>H41/H45/1000</f>
        <v>3361.7429999999999</v>
      </c>
    </row>
    <row r="50" spans="2:10" ht="15" customHeight="1" x14ac:dyDescent="0.25">
      <c r="B50" s="49" t="s">
        <v>154</v>
      </c>
      <c r="C50" s="49" t="s">
        <v>41</v>
      </c>
      <c r="D50" s="52">
        <f>D42/D46/1000</f>
        <v>1339.89471</v>
      </c>
      <c r="F50" s="49" t="s">
        <v>154</v>
      </c>
      <c r="G50" s="49" t="s">
        <v>41</v>
      </c>
      <c r="H50" s="52">
        <f>H42/H46/1000</f>
        <v>268.93943999999999</v>
      </c>
    </row>
    <row r="51" spans="2:10" ht="16.5" customHeight="1" x14ac:dyDescent="0.25">
      <c r="B51" s="49" t="s">
        <v>143</v>
      </c>
      <c r="C51" s="49" t="s">
        <v>41</v>
      </c>
      <c r="D51" s="52">
        <f>SUM(D49:D50)</f>
        <v>4795.9723350000004</v>
      </c>
      <c r="F51" s="49" t="s">
        <v>143</v>
      </c>
      <c r="G51" s="49" t="s">
        <v>41</v>
      </c>
      <c r="H51" s="52">
        <f>H49+H50</f>
        <v>3630.68244</v>
      </c>
    </row>
    <row r="52" spans="2:10" ht="9.75" customHeight="1" x14ac:dyDescent="0.25">
      <c r="B52" s="49"/>
      <c r="C52" s="49"/>
      <c r="D52" s="52"/>
      <c r="F52" s="49"/>
      <c r="G52" s="49"/>
      <c r="H52" s="52"/>
    </row>
    <row r="53" spans="2:10" ht="21.75" customHeight="1" x14ac:dyDescent="0.25">
      <c r="B53" s="53" t="s">
        <v>32</v>
      </c>
      <c r="C53" s="53"/>
      <c r="D53" s="54"/>
      <c r="F53" s="53" t="s">
        <v>32</v>
      </c>
      <c r="G53" s="53"/>
      <c r="H53" s="54"/>
    </row>
    <row r="54" spans="2:10" ht="14.25" customHeight="1" x14ac:dyDescent="0.25">
      <c r="B54" s="77" t="s">
        <v>153</v>
      </c>
      <c r="C54" s="77" t="s">
        <v>7</v>
      </c>
      <c r="D54" s="95">
        <v>1100</v>
      </c>
      <c r="F54" s="77" t="s">
        <v>153</v>
      </c>
      <c r="G54" s="77" t="s">
        <v>7</v>
      </c>
      <c r="H54" s="95">
        <v>1100</v>
      </c>
    </row>
    <row r="55" spans="2:10" ht="14.25" customHeight="1" x14ac:dyDescent="0.25">
      <c r="B55" s="77" t="s">
        <v>154</v>
      </c>
      <c r="C55" s="77" t="s">
        <v>7</v>
      </c>
      <c r="D55" s="95">
        <v>1250</v>
      </c>
      <c r="F55" s="77" t="s">
        <v>154</v>
      </c>
      <c r="G55" s="77" t="s">
        <v>7</v>
      </c>
      <c r="H55" s="95">
        <v>1250</v>
      </c>
    </row>
    <row r="56" spans="2:10" ht="9.75" customHeight="1" x14ac:dyDescent="0.25">
      <c r="B56" s="49"/>
      <c r="C56" s="49"/>
      <c r="D56" s="52"/>
      <c r="F56" s="49"/>
      <c r="G56" s="49"/>
      <c r="H56" s="52"/>
    </row>
    <row r="57" spans="2:10" ht="19.5" customHeight="1" x14ac:dyDescent="0.25">
      <c r="B57" s="53" t="s">
        <v>188</v>
      </c>
      <c r="C57" s="49"/>
      <c r="D57" s="52"/>
      <c r="F57" s="53" t="s">
        <v>188</v>
      </c>
      <c r="G57" s="49"/>
      <c r="H57" s="52"/>
    </row>
    <row r="58" spans="2:10" ht="14.25" customHeight="1" x14ac:dyDescent="0.25">
      <c r="B58" s="77" t="s">
        <v>89</v>
      </c>
      <c r="C58" s="77" t="s">
        <v>62</v>
      </c>
      <c r="D58" s="95">
        <v>15000</v>
      </c>
      <c r="F58" s="77" t="s">
        <v>89</v>
      </c>
      <c r="G58" s="77" t="s">
        <v>62</v>
      </c>
      <c r="H58" s="95">
        <v>20000</v>
      </c>
      <c r="J58" s="1" t="s">
        <v>118</v>
      </c>
    </row>
    <row r="59" spans="2:10" ht="14.25" customHeight="1" x14ac:dyDescent="0.25">
      <c r="B59" s="49" t="s">
        <v>88</v>
      </c>
      <c r="C59" s="49" t="s">
        <v>62</v>
      </c>
      <c r="D59" s="52">
        <f>D58*D10</f>
        <v>165000</v>
      </c>
      <c r="F59" s="49" t="s">
        <v>88</v>
      </c>
      <c r="G59" s="49" t="s">
        <v>62</v>
      </c>
      <c r="H59" s="52">
        <f>H58*H10</f>
        <v>220000</v>
      </c>
    </row>
    <row r="60" spans="2:10" ht="13.5" customHeight="1" x14ac:dyDescent="0.25">
      <c r="B60" s="77" t="s">
        <v>63</v>
      </c>
      <c r="C60" s="77" t="s">
        <v>64</v>
      </c>
      <c r="D60" s="81">
        <v>16</v>
      </c>
      <c r="F60" s="77" t="s">
        <v>63</v>
      </c>
      <c r="G60" s="77" t="s">
        <v>64</v>
      </c>
      <c r="H60" s="81">
        <v>16</v>
      </c>
    </row>
    <row r="61" spans="2:10" ht="9" customHeight="1" x14ac:dyDescent="0.25">
      <c r="B61" s="49"/>
      <c r="C61" s="49"/>
      <c r="D61" s="52"/>
      <c r="F61" s="49"/>
      <c r="G61" s="49"/>
      <c r="H61" s="52"/>
    </row>
    <row r="62" spans="2:10" ht="19.5" customHeight="1" x14ac:dyDescent="0.25">
      <c r="B62" s="53" t="s">
        <v>191</v>
      </c>
      <c r="C62" s="53"/>
      <c r="D62" s="54"/>
      <c r="F62" s="53" t="s">
        <v>191</v>
      </c>
      <c r="G62" s="53"/>
      <c r="H62" s="54"/>
    </row>
    <row r="63" spans="2:10" ht="15.75" customHeight="1" x14ac:dyDescent="0.25">
      <c r="B63" s="77" t="s">
        <v>115</v>
      </c>
      <c r="C63" s="77" t="s">
        <v>114</v>
      </c>
      <c r="D63" s="96">
        <v>9.2514199999999998E-3</v>
      </c>
      <c r="F63" s="77" t="s">
        <v>115</v>
      </c>
      <c r="G63" s="77" t="s">
        <v>114</v>
      </c>
      <c r="H63" s="96">
        <v>1.1293055E-2</v>
      </c>
      <c r="J63" s="1" t="s">
        <v>156</v>
      </c>
    </row>
    <row r="64" spans="2:10" ht="13.5" customHeight="1" x14ac:dyDescent="0.25">
      <c r="B64" s="49" t="s">
        <v>90</v>
      </c>
      <c r="C64" s="49" t="s">
        <v>42</v>
      </c>
      <c r="D64" s="52">
        <f>D63*(D11*D12)</f>
        <v>352617.87329999998</v>
      </c>
      <c r="F64" s="49" t="s">
        <v>90</v>
      </c>
      <c r="G64" s="49" t="s">
        <v>42</v>
      </c>
      <c r="H64" s="52">
        <f>H63*(H11*H12)</f>
        <v>430434.791325</v>
      </c>
    </row>
    <row r="65" spans="2:10" ht="15.75" customHeight="1" x14ac:dyDescent="0.25">
      <c r="B65" s="77" t="s">
        <v>134</v>
      </c>
      <c r="C65" s="77" t="s">
        <v>116</v>
      </c>
      <c r="D65" s="97">
        <v>0.12609999999999999</v>
      </c>
      <c r="F65" s="77" t="s">
        <v>134</v>
      </c>
      <c r="G65" s="77" t="s">
        <v>116</v>
      </c>
      <c r="H65" s="97">
        <v>0.12609999999999999</v>
      </c>
      <c r="J65" s="1" t="s">
        <v>157</v>
      </c>
    </row>
    <row r="66" spans="2:10" ht="17.25" customHeight="1" x14ac:dyDescent="0.25">
      <c r="B66" s="49" t="s">
        <v>91</v>
      </c>
      <c r="C66" s="49" t="s">
        <v>44</v>
      </c>
      <c r="D66" s="52">
        <f>D65*(D12*D11)</f>
        <v>4806301.5</v>
      </c>
      <c r="F66" s="49" t="s">
        <v>91</v>
      </c>
      <c r="G66" s="49" t="s">
        <v>44</v>
      </c>
      <c r="H66" s="52">
        <f>H65*(H12*H11)</f>
        <v>4806301.5</v>
      </c>
    </row>
    <row r="67" spans="2:10" ht="10.5" customHeight="1" x14ac:dyDescent="0.25">
      <c r="B67" s="49"/>
      <c r="C67" s="49"/>
      <c r="D67" s="52"/>
      <c r="F67" s="49"/>
      <c r="G67" s="49"/>
      <c r="H67" s="52"/>
    </row>
    <row r="68" spans="2:10" ht="19.5" customHeight="1" x14ac:dyDescent="0.25">
      <c r="B68" s="53" t="s">
        <v>43</v>
      </c>
      <c r="C68" s="49"/>
      <c r="D68" s="52"/>
      <c r="F68" s="53" t="s">
        <v>43</v>
      </c>
      <c r="G68" s="49"/>
      <c r="H68" s="52"/>
    </row>
    <row r="69" spans="2:10" ht="12.75" customHeight="1" x14ac:dyDescent="0.25">
      <c r="B69" s="77" t="s">
        <v>95</v>
      </c>
      <c r="C69" s="77" t="s">
        <v>45</v>
      </c>
      <c r="D69" s="81">
        <v>0.8</v>
      </c>
      <c r="F69" s="77" t="s">
        <v>95</v>
      </c>
      <c r="G69" s="77" t="s">
        <v>45</v>
      </c>
      <c r="H69" s="81">
        <v>0.8</v>
      </c>
    </row>
    <row r="70" spans="2:10" ht="13.5" customHeight="1" x14ac:dyDescent="0.25">
      <c r="B70" s="77" t="s">
        <v>96</v>
      </c>
      <c r="C70" s="77" t="s">
        <v>46</v>
      </c>
      <c r="D70" s="95">
        <v>35</v>
      </c>
      <c r="F70" s="77" t="s">
        <v>96</v>
      </c>
      <c r="G70" s="77" t="s">
        <v>46</v>
      </c>
      <c r="H70" s="95">
        <v>35</v>
      </c>
    </row>
    <row r="71" spans="2:10" ht="9" customHeight="1" x14ac:dyDescent="0.25">
      <c r="B71" s="49"/>
      <c r="C71" s="49"/>
      <c r="D71" s="52"/>
      <c r="F71" s="49"/>
      <c r="G71" s="49"/>
      <c r="H71" s="52"/>
    </row>
    <row r="72" spans="2:10" ht="20.25" customHeight="1" x14ac:dyDescent="0.25">
      <c r="B72" s="53" t="s">
        <v>192</v>
      </c>
      <c r="C72" s="53"/>
      <c r="D72" s="54"/>
      <c r="F72" s="53" t="s">
        <v>192</v>
      </c>
      <c r="G72" s="53"/>
      <c r="H72" s="54"/>
    </row>
    <row r="73" spans="2:10" ht="16.5" customHeight="1" x14ac:dyDescent="0.25">
      <c r="B73" s="77" t="s">
        <v>94</v>
      </c>
      <c r="C73" s="78" t="s">
        <v>33</v>
      </c>
      <c r="D73" s="95">
        <f>D8*12*9</f>
        <v>2376</v>
      </c>
      <c r="F73" s="77" t="s">
        <v>94</v>
      </c>
      <c r="G73" s="78" t="s">
        <v>33</v>
      </c>
      <c r="H73" s="95">
        <f>H8*12*9</f>
        <v>2376</v>
      </c>
      <c r="J73" s="1" t="s">
        <v>158</v>
      </c>
    </row>
    <row r="74" spans="2:10" ht="16.5" customHeight="1" x14ac:dyDescent="0.25">
      <c r="B74" s="77" t="s">
        <v>135</v>
      </c>
      <c r="C74" s="77" t="s">
        <v>33</v>
      </c>
      <c r="D74" s="95">
        <v>21</v>
      </c>
      <c r="F74" s="77" t="s">
        <v>135</v>
      </c>
      <c r="G74" s="77" t="s">
        <v>33</v>
      </c>
      <c r="H74" s="95">
        <v>12</v>
      </c>
    </row>
    <row r="75" spans="2:10" ht="15" customHeight="1" x14ac:dyDescent="0.25">
      <c r="B75" s="77" t="s">
        <v>122</v>
      </c>
      <c r="C75" s="77" t="s">
        <v>33</v>
      </c>
      <c r="D75" s="95">
        <v>2</v>
      </c>
      <c r="F75" s="77" t="s">
        <v>122</v>
      </c>
      <c r="G75" s="77" t="s">
        <v>33</v>
      </c>
      <c r="H75" s="95">
        <v>1</v>
      </c>
    </row>
    <row r="76" spans="2:10" ht="14.25" customHeight="1" x14ac:dyDescent="0.25">
      <c r="B76" s="77" t="s">
        <v>28</v>
      </c>
      <c r="C76" s="77" t="s">
        <v>33</v>
      </c>
      <c r="D76" s="95">
        <v>2</v>
      </c>
      <c r="F76" s="77" t="s">
        <v>28</v>
      </c>
      <c r="G76" s="77" t="s">
        <v>33</v>
      </c>
      <c r="H76" s="95">
        <v>3</v>
      </c>
    </row>
    <row r="77" spans="2:10" ht="13.5" customHeight="1" x14ac:dyDescent="0.25">
      <c r="B77" s="77" t="s">
        <v>29</v>
      </c>
      <c r="C77" s="77" t="s">
        <v>33</v>
      </c>
      <c r="D77" s="95">
        <v>1</v>
      </c>
      <c r="F77" s="77" t="s">
        <v>29</v>
      </c>
      <c r="G77" s="77" t="s">
        <v>33</v>
      </c>
      <c r="H77" s="95">
        <v>1</v>
      </c>
    </row>
    <row r="78" spans="2:10" ht="13.5" customHeight="1" x14ac:dyDescent="0.25">
      <c r="B78" s="77" t="s">
        <v>121</v>
      </c>
      <c r="C78" s="77" t="s">
        <v>33</v>
      </c>
      <c r="D78" s="95">
        <v>1</v>
      </c>
      <c r="F78" s="77" t="s">
        <v>121</v>
      </c>
      <c r="G78" s="77" t="s">
        <v>33</v>
      </c>
      <c r="H78" s="95">
        <v>1</v>
      </c>
    </row>
    <row r="79" spans="2:10" ht="13.5" customHeight="1" x14ac:dyDescent="0.25">
      <c r="B79" s="77" t="s">
        <v>120</v>
      </c>
      <c r="C79" s="77" t="s">
        <v>33</v>
      </c>
      <c r="D79" s="95">
        <v>1</v>
      </c>
      <c r="F79" s="77" t="s">
        <v>120</v>
      </c>
      <c r="G79" s="77" t="s">
        <v>33</v>
      </c>
      <c r="H79" s="95">
        <v>1</v>
      </c>
    </row>
    <row r="80" spans="2:10" ht="14.25" customHeight="1" x14ac:dyDescent="0.25">
      <c r="B80" s="77" t="s">
        <v>30</v>
      </c>
      <c r="C80" s="77" t="s">
        <v>33</v>
      </c>
      <c r="D80" s="95">
        <v>1</v>
      </c>
      <c r="F80" s="77" t="s">
        <v>30</v>
      </c>
      <c r="G80" s="77" t="s">
        <v>33</v>
      </c>
      <c r="H80" s="95">
        <v>1</v>
      </c>
    </row>
    <row r="81" spans="2:8" ht="15" customHeight="1" x14ac:dyDescent="0.25">
      <c r="B81" s="33"/>
      <c r="C81" s="33"/>
      <c r="D81" s="34"/>
      <c r="F81" s="33"/>
      <c r="G81" s="33"/>
      <c r="H81" s="34"/>
    </row>
    <row r="82" spans="2:8" ht="19.5" customHeight="1" x14ac:dyDescent="0.25">
      <c r="B82" s="31" t="s">
        <v>31</v>
      </c>
      <c r="C82" s="31"/>
      <c r="D82" s="32"/>
      <c r="F82" s="31" t="s">
        <v>31</v>
      </c>
      <c r="G82" s="31"/>
      <c r="H82" s="32"/>
    </row>
    <row r="83" spans="2:8" ht="16.5" customHeight="1" x14ac:dyDescent="0.25">
      <c r="B83" s="77" t="s">
        <v>135</v>
      </c>
      <c r="C83" s="77" t="s">
        <v>47</v>
      </c>
      <c r="D83" s="95">
        <v>60</v>
      </c>
      <c r="F83" s="77" t="s">
        <v>135</v>
      </c>
      <c r="G83" s="77" t="s">
        <v>47</v>
      </c>
      <c r="H83" s="95">
        <v>60</v>
      </c>
    </row>
    <row r="84" spans="2:8" ht="12.75" customHeight="1" x14ac:dyDescent="0.25">
      <c r="B84" s="77" t="s">
        <v>122</v>
      </c>
      <c r="C84" s="77" t="s">
        <v>47</v>
      </c>
      <c r="D84" s="95">
        <v>80</v>
      </c>
      <c r="F84" s="77" t="s">
        <v>122</v>
      </c>
      <c r="G84" s="77" t="s">
        <v>47</v>
      </c>
      <c r="H84" s="95">
        <v>80</v>
      </c>
    </row>
    <row r="85" spans="2:8" ht="13.5" customHeight="1" x14ac:dyDescent="0.25">
      <c r="B85" s="77" t="s">
        <v>28</v>
      </c>
      <c r="C85" s="77" t="s">
        <v>47</v>
      </c>
      <c r="D85" s="95">
        <v>70</v>
      </c>
      <c r="F85" s="77" t="s">
        <v>28</v>
      </c>
      <c r="G85" s="77" t="s">
        <v>47</v>
      </c>
      <c r="H85" s="95">
        <v>70</v>
      </c>
    </row>
    <row r="86" spans="2:8" ht="14.25" customHeight="1" x14ac:dyDescent="0.25">
      <c r="B86" s="77" t="s">
        <v>29</v>
      </c>
      <c r="C86" s="77" t="s">
        <v>48</v>
      </c>
      <c r="D86" s="95">
        <v>20000</v>
      </c>
      <c r="F86" s="77" t="s">
        <v>29</v>
      </c>
      <c r="G86" s="77" t="s">
        <v>48</v>
      </c>
      <c r="H86" s="95">
        <v>20000</v>
      </c>
    </row>
    <row r="87" spans="2:8" ht="14.25" customHeight="1" x14ac:dyDescent="0.25">
      <c r="B87" s="77" t="s">
        <v>119</v>
      </c>
      <c r="C87" s="77" t="s">
        <v>48</v>
      </c>
      <c r="D87" s="95">
        <v>40000</v>
      </c>
      <c r="F87" s="77" t="s">
        <v>119</v>
      </c>
      <c r="G87" s="77" t="s">
        <v>48</v>
      </c>
      <c r="H87" s="95">
        <v>40000</v>
      </c>
    </row>
    <row r="88" spans="2:8" ht="13.5" customHeight="1" x14ac:dyDescent="0.25">
      <c r="B88" s="77" t="s">
        <v>120</v>
      </c>
      <c r="C88" s="77" t="s">
        <v>48</v>
      </c>
      <c r="D88" s="95">
        <v>30000</v>
      </c>
      <c r="F88" s="77" t="s">
        <v>120</v>
      </c>
      <c r="G88" s="77" t="s">
        <v>48</v>
      </c>
      <c r="H88" s="95">
        <v>30000</v>
      </c>
    </row>
    <row r="89" spans="2:8" ht="15" customHeight="1" x14ac:dyDescent="0.25">
      <c r="B89" s="77" t="s">
        <v>30</v>
      </c>
      <c r="C89" s="77" t="s">
        <v>48</v>
      </c>
      <c r="D89" s="95">
        <v>90000</v>
      </c>
      <c r="F89" s="77" t="s">
        <v>30</v>
      </c>
      <c r="G89" s="77" t="s">
        <v>48</v>
      </c>
      <c r="H89" s="95">
        <v>90000</v>
      </c>
    </row>
    <row r="90" spans="2:8" ht="13.5" customHeight="1" x14ac:dyDescent="0.25">
      <c r="B90" s="33"/>
      <c r="C90" s="33"/>
      <c r="D90" s="34"/>
      <c r="F90" s="33"/>
      <c r="G90" s="33"/>
      <c r="H90" s="34"/>
    </row>
    <row r="91" spans="2:8" ht="12.75" customHeight="1" x14ac:dyDescent="0.25">
      <c r="B91" s="31" t="s">
        <v>174</v>
      </c>
      <c r="C91" s="31"/>
      <c r="D91" s="32"/>
      <c r="F91" s="31" t="s">
        <v>174</v>
      </c>
      <c r="G91" s="31"/>
      <c r="H91" s="32"/>
    </row>
    <row r="92" spans="2:8" x14ac:dyDescent="0.25">
      <c r="B92" s="77" t="s">
        <v>193</v>
      </c>
      <c r="C92" s="77" t="s">
        <v>199</v>
      </c>
      <c r="D92" s="95">
        <v>700</v>
      </c>
      <c r="F92" s="77" t="s">
        <v>193</v>
      </c>
      <c r="G92" s="77" t="s">
        <v>199</v>
      </c>
      <c r="H92" s="95">
        <v>700</v>
      </c>
    </row>
    <row r="93" spans="2:8" x14ac:dyDescent="0.25">
      <c r="B93" s="33" t="s">
        <v>194</v>
      </c>
      <c r="C93" s="33" t="s">
        <v>33</v>
      </c>
      <c r="D93" s="34">
        <f>D11/D92</f>
        <v>15557.142857142857</v>
      </c>
      <c r="F93" s="33" t="s">
        <v>194</v>
      </c>
      <c r="G93" s="33" t="s">
        <v>33</v>
      </c>
      <c r="H93" s="34">
        <f>H11/H92</f>
        <v>15557.142857142857</v>
      </c>
    </row>
    <row r="94" spans="2:8" x14ac:dyDescent="0.25">
      <c r="B94" s="77" t="s">
        <v>195</v>
      </c>
      <c r="C94" s="77" t="s">
        <v>33</v>
      </c>
      <c r="D94" s="95">
        <v>5</v>
      </c>
      <c r="F94" s="77" t="s">
        <v>195</v>
      </c>
      <c r="G94" s="77" t="s">
        <v>33</v>
      </c>
      <c r="H94" s="95">
        <v>5</v>
      </c>
    </row>
    <row r="95" spans="2:8" x14ac:dyDescent="0.25">
      <c r="B95" s="77" t="s">
        <v>196</v>
      </c>
      <c r="C95" s="77" t="s">
        <v>199</v>
      </c>
      <c r="D95" s="95">
        <v>500</v>
      </c>
      <c r="F95" s="77" t="s">
        <v>196</v>
      </c>
      <c r="G95" s="77" t="s">
        <v>199</v>
      </c>
      <c r="H95" s="95">
        <v>500</v>
      </c>
    </row>
    <row r="96" spans="2:8" x14ac:dyDescent="0.25">
      <c r="B96" s="33" t="s">
        <v>197</v>
      </c>
      <c r="C96" s="33" t="s">
        <v>33</v>
      </c>
      <c r="D96" s="34">
        <f>D18/D95</f>
        <v>19242.63</v>
      </c>
      <c r="F96" s="33" t="s">
        <v>197</v>
      </c>
      <c r="G96" s="33" t="s">
        <v>33</v>
      </c>
      <c r="H96" s="34">
        <f>H18/H95</f>
        <v>20704.067999999999</v>
      </c>
    </row>
    <row r="97" spans="2:8" x14ac:dyDescent="0.25">
      <c r="B97" s="77" t="s">
        <v>198</v>
      </c>
      <c r="C97" s="77" t="s">
        <v>33</v>
      </c>
      <c r="D97" s="95">
        <v>7</v>
      </c>
      <c r="F97" s="77" t="s">
        <v>198</v>
      </c>
      <c r="G97" s="77" t="s">
        <v>33</v>
      </c>
      <c r="H97" s="95">
        <v>7</v>
      </c>
    </row>
    <row r="98" spans="2:8" x14ac:dyDescent="0.25">
      <c r="B98" s="33"/>
      <c r="C98" s="33"/>
      <c r="D98" s="34"/>
      <c r="E98" s="1"/>
      <c r="F98" s="33"/>
      <c r="G98" s="33"/>
      <c r="H98" s="34"/>
    </row>
    <row r="99" spans="2:8" x14ac:dyDescent="0.25">
      <c r="B99" s="31" t="s">
        <v>174</v>
      </c>
      <c r="C99" s="31"/>
      <c r="D99" s="32"/>
      <c r="E99" s="1"/>
      <c r="F99" s="31" t="s">
        <v>174</v>
      </c>
      <c r="G99" s="31"/>
      <c r="H99" s="32"/>
    </row>
    <row r="100" spans="2:8" x14ac:dyDescent="0.25">
      <c r="B100" s="77" t="s">
        <v>200</v>
      </c>
      <c r="C100" s="77" t="s">
        <v>202</v>
      </c>
      <c r="D100" s="95">
        <v>130</v>
      </c>
      <c r="E100" s="1"/>
      <c r="F100" s="77" t="s">
        <v>200</v>
      </c>
      <c r="G100" s="77" t="s">
        <v>202</v>
      </c>
      <c r="H100" s="95">
        <v>130</v>
      </c>
    </row>
    <row r="101" spans="2:8" x14ac:dyDescent="0.25">
      <c r="B101" s="77" t="s">
        <v>201</v>
      </c>
      <c r="C101" s="77" t="s">
        <v>202</v>
      </c>
      <c r="D101" s="95">
        <v>110</v>
      </c>
      <c r="E101" s="1"/>
      <c r="F101" s="77" t="s">
        <v>201</v>
      </c>
      <c r="G101" s="77" t="s">
        <v>202</v>
      </c>
      <c r="H101" s="95">
        <v>110</v>
      </c>
    </row>
    <row r="102" spans="2:8" x14ac:dyDescent="0.25">
      <c r="B102" s="149"/>
      <c r="C102" s="149"/>
      <c r="D102" s="150"/>
      <c r="E102" s="1"/>
      <c r="F102" s="149"/>
      <c r="G102" s="149"/>
      <c r="H102" s="29"/>
    </row>
    <row r="103" spans="2:8" x14ac:dyDescent="0.25">
      <c r="F103" s="1"/>
      <c r="H103" s="30"/>
    </row>
    <row r="104" spans="2:8" x14ac:dyDescent="0.25">
      <c r="F104" s="1"/>
      <c r="H104" s="30"/>
    </row>
    <row r="105" spans="2:8" x14ac:dyDescent="0.25">
      <c r="F105" s="1"/>
      <c r="H105" s="30"/>
    </row>
    <row r="106" spans="2:8" x14ac:dyDescent="0.25">
      <c r="F106" s="1"/>
      <c r="H106" s="30"/>
    </row>
    <row r="107" spans="2:8" x14ac:dyDescent="0.25">
      <c r="F107" s="1"/>
      <c r="H107" s="30"/>
    </row>
    <row r="108" spans="2:8" x14ac:dyDescent="0.25">
      <c r="F108" s="1"/>
      <c r="H108" s="30"/>
    </row>
    <row r="109" spans="2:8" x14ac:dyDescent="0.25">
      <c r="F109" s="1"/>
      <c r="H109" s="30"/>
    </row>
    <row r="110" spans="2:8" x14ac:dyDescent="0.25">
      <c r="F110" s="1"/>
      <c r="H110" s="30"/>
    </row>
    <row r="111" spans="2:8" x14ac:dyDescent="0.25">
      <c r="F111" s="1"/>
      <c r="H111" s="30"/>
    </row>
    <row r="112" spans="2:8" x14ac:dyDescent="0.25">
      <c r="F112" s="1"/>
      <c r="H112" s="30"/>
    </row>
    <row r="113" spans="6:8" x14ac:dyDescent="0.25">
      <c r="F113" s="1"/>
      <c r="H113" s="30"/>
    </row>
    <row r="114" spans="6:8" x14ac:dyDescent="0.25">
      <c r="F114" s="1"/>
      <c r="H114" s="30"/>
    </row>
    <row r="115" spans="6:8" x14ac:dyDescent="0.25">
      <c r="F115" s="1"/>
      <c r="H115" s="30"/>
    </row>
    <row r="116" spans="6:8" x14ac:dyDescent="0.25">
      <c r="F116" s="1"/>
      <c r="H116" s="30"/>
    </row>
    <row r="117" spans="6:8" x14ac:dyDescent="0.25">
      <c r="F117" s="1"/>
      <c r="H117" s="30"/>
    </row>
    <row r="118" spans="6:8" x14ac:dyDescent="0.25">
      <c r="F118" s="1"/>
      <c r="H118" s="30"/>
    </row>
    <row r="119" spans="6:8" x14ac:dyDescent="0.25">
      <c r="F119" s="1"/>
      <c r="H119" s="30"/>
    </row>
    <row r="120" spans="6:8" x14ac:dyDescent="0.25">
      <c r="F120" s="1"/>
      <c r="H120" s="30"/>
    </row>
    <row r="121" spans="6:8" x14ac:dyDescent="0.25">
      <c r="F121" s="1"/>
      <c r="H121" s="30"/>
    </row>
    <row r="122" spans="6:8" x14ac:dyDescent="0.25">
      <c r="F122" s="1"/>
      <c r="H122" s="30"/>
    </row>
    <row r="123" spans="6:8" x14ac:dyDescent="0.25">
      <c r="F123" s="1"/>
      <c r="H123" s="30"/>
    </row>
    <row r="124" spans="6:8" x14ac:dyDescent="0.25">
      <c r="F124" s="1"/>
      <c r="H124" s="30"/>
    </row>
    <row r="125" spans="6:8" x14ac:dyDescent="0.25">
      <c r="F125" s="1"/>
      <c r="H125" s="30"/>
    </row>
    <row r="126" spans="6:8" x14ac:dyDescent="0.25">
      <c r="F126" s="1"/>
      <c r="H126" s="30"/>
    </row>
    <row r="127" spans="6:8" x14ac:dyDescent="0.25">
      <c r="F127" s="1"/>
      <c r="H127" s="30"/>
    </row>
    <row r="128" spans="6:8" x14ac:dyDescent="0.25">
      <c r="F128" s="1"/>
      <c r="H128" s="30"/>
    </row>
    <row r="129" spans="6:8" x14ac:dyDescent="0.25">
      <c r="F129" s="1"/>
      <c r="H129" s="30"/>
    </row>
    <row r="130" spans="6:8" x14ac:dyDescent="0.25">
      <c r="F130" s="1"/>
      <c r="H130" s="30"/>
    </row>
    <row r="131" spans="6:8" x14ac:dyDescent="0.25">
      <c r="F131" s="1"/>
      <c r="H131" s="30"/>
    </row>
    <row r="132" spans="6:8" x14ac:dyDescent="0.25">
      <c r="F132" s="1"/>
      <c r="H132" s="30"/>
    </row>
    <row r="133" spans="6:8" x14ac:dyDescent="0.25">
      <c r="F133" s="1"/>
      <c r="H133" s="30"/>
    </row>
    <row r="134" spans="6:8" x14ac:dyDescent="0.25">
      <c r="F134" s="1"/>
      <c r="H134" s="30"/>
    </row>
    <row r="135" spans="6:8" x14ac:dyDescent="0.25">
      <c r="F135" s="1"/>
      <c r="H135" s="30"/>
    </row>
    <row r="136" spans="6:8" x14ac:dyDescent="0.25">
      <c r="F136" s="1"/>
      <c r="H136" s="30"/>
    </row>
    <row r="137" spans="6:8" x14ac:dyDescent="0.25">
      <c r="F137" s="1"/>
      <c r="H137" s="30"/>
    </row>
    <row r="138" spans="6:8" x14ac:dyDescent="0.25">
      <c r="F138" s="1"/>
      <c r="H138" s="30"/>
    </row>
    <row r="139" spans="6:8" x14ac:dyDescent="0.25">
      <c r="F139" s="1"/>
      <c r="H139" s="30"/>
    </row>
    <row r="140" spans="6:8" x14ac:dyDescent="0.25">
      <c r="F140" s="1"/>
      <c r="H140" s="30"/>
    </row>
    <row r="141" spans="6:8" x14ac:dyDescent="0.25">
      <c r="F141" s="1"/>
      <c r="H141" s="30"/>
    </row>
    <row r="142" spans="6:8" x14ac:dyDescent="0.25">
      <c r="F142" s="1"/>
      <c r="H142" s="30"/>
    </row>
    <row r="143" spans="6:8" x14ac:dyDescent="0.25">
      <c r="F143" s="1"/>
      <c r="H143" s="30"/>
    </row>
    <row r="144" spans="6:8" x14ac:dyDescent="0.25">
      <c r="F144" s="1"/>
      <c r="H144" s="30"/>
    </row>
    <row r="145" spans="6:8" x14ac:dyDescent="0.25">
      <c r="F145" s="1"/>
      <c r="H145" s="30"/>
    </row>
    <row r="146" spans="6:8" x14ac:dyDescent="0.25">
      <c r="F146" s="1"/>
      <c r="H146" s="30"/>
    </row>
    <row r="147" spans="6:8" x14ac:dyDescent="0.25">
      <c r="F147" s="1"/>
      <c r="H147" s="30"/>
    </row>
    <row r="148" spans="6:8" x14ac:dyDescent="0.25">
      <c r="F148" s="1"/>
      <c r="H148" s="30"/>
    </row>
    <row r="149" spans="6:8" x14ac:dyDescent="0.25">
      <c r="F149" s="1"/>
      <c r="H149" s="30"/>
    </row>
    <row r="150" spans="6:8" x14ac:dyDescent="0.25">
      <c r="F150" s="1"/>
      <c r="H150" s="30"/>
    </row>
    <row r="151" spans="6:8" x14ac:dyDescent="0.25">
      <c r="F151" s="1"/>
      <c r="H151" s="30"/>
    </row>
    <row r="152" spans="6:8" x14ac:dyDescent="0.25">
      <c r="F152" s="1"/>
      <c r="H152" s="30"/>
    </row>
    <row r="153" spans="6:8" x14ac:dyDescent="0.25">
      <c r="F153" s="1"/>
      <c r="H153" s="30"/>
    </row>
    <row r="154" spans="6:8" x14ac:dyDescent="0.25">
      <c r="F154" s="1"/>
      <c r="H154" s="30"/>
    </row>
    <row r="155" spans="6:8" x14ac:dyDescent="0.25">
      <c r="F155" s="1"/>
      <c r="H155" s="30"/>
    </row>
    <row r="156" spans="6:8" x14ac:dyDescent="0.25">
      <c r="F156" s="1"/>
      <c r="H156" s="30"/>
    </row>
    <row r="157" spans="6:8" x14ac:dyDescent="0.25">
      <c r="F157" s="1"/>
      <c r="H157" s="30"/>
    </row>
    <row r="158" spans="6:8" x14ac:dyDescent="0.25">
      <c r="F158" s="1"/>
      <c r="H158" s="30"/>
    </row>
    <row r="159" spans="6:8" x14ac:dyDescent="0.25">
      <c r="F159" s="1"/>
      <c r="H159" s="30"/>
    </row>
    <row r="160" spans="6:8" x14ac:dyDescent="0.25">
      <c r="F160" s="1"/>
      <c r="H160" s="30"/>
    </row>
    <row r="161" spans="6:8" x14ac:dyDescent="0.25">
      <c r="F161" s="1"/>
      <c r="H161" s="30"/>
    </row>
    <row r="162" spans="6:8" x14ac:dyDescent="0.25">
      <c r="F162" s="1"/>
      <c r="H162" s="30"/>
    </row>
    <row r="163" spans="6:8" x14ac:dyDescent="0.25">
      <c r="F163" s="1"/>
      <c r="H163" s="30"/>
    </row>
    <row r="164" spans="6:8" x14ac:dyDescent="0.25">
      <c r="F164" s="1"/>
      <c r="H164" s="30"/>
    </row>
    <row r="165" spans="6:8" x14ac:dyDescent="0.25">
      <c r="F165" s="1"/>
      <c r="H165" s="30"/>
    </row>
    <row r="166" spans="6:8" x14ac:dyDescent="0.25">
      <c r="F166" s="1"/>
      <c r="H166" s="30"/>
    </row>
    <row r="167" spans="6:8" x14ac:dyDescent="0.25">
      <c r="F167" s="1"/>
      <c r="H167" s="30"/>
    </row>
    <row r="168" spans="6:8" x14ac:dyDescent="0.25">
      <c r="F168" s="1"/>
      <c r="H168" s="30"/>
    </row>
    <row r="169" spans="6:8" x14ac:dyDescent="0.25">
      <c r="F169" s="1"/>
      <c r="H169" s="30"/>
    </row>
    <row r="170" spans="6:8" x14ac:dyDescent="0.25">
      <c r="F170" s="1"/>
      <c r="H170" s="30"/>
    </row>
    <row r="171" spans="6:8" x14ac:dyDescent="0.25">
      <c r="F171" s="1"/>
      <c r="H171" s="30"/>
    </row>
    <row r="172" spans="6:8" x14ac:dyDescent="0.25">
      <c r="F172" s="1"/>
      <c r="H172" s="30"/>
    </row>
    <row r="173" spans="6:8" x14ac:dyDescent="0.25">
      <c r="F173" s="1"/>
      <c r="H173" s="30"/>
    </row>
    <row r="174" spans="6:8" x14ac:dyDescent="0.25">
      <c r="F174" s="1"/>
      <c r="H174" s="30"/>
    </row>
    <row r="175" spans="6:8" x14ac:dyDescent="0.25">
      <c r="F175" s="1"/>
      <c r="H175" s="30"/>
    </row>
    <row r="176" spans="6:8" x14ac:dyDescent="0.25">
      <c r="F176" s="1"/>
      <c r="H176" s="30"/>
    </row>
    <row r="177" spans="6:8" x14ac:dyDescent="0.25">
      <c r="F177" s="1"/>
      <c r="H177" s="30"/>
    </row>
    <row r="178" spans="6:8" x14ac:dyDescent="0.25">
      <c r="F178" s="1"/>
      <c r="H178" s="30"/>
    </row>
    <row r="179" spans="6:8" x14ac:dyDescent="0.25">
      <c r="F179" s="1"/>
      <c r="H179" s="30"/>
    </row>
    <row r="180" spans="6:8" x14ac:dyDescent="0.25">
      <c r="F180" s="1"/>
      <c r="H180" s="30"/>
    </row>
    <row r="181" spans="6:8" x14ac:dyDescent="0.25">
      <c r="F181" s="1"/>
      <c r="H181" s="30"/>
    </row>
    <row r="182" spans="6:8" x14ac:dyDescent="0.25">
      <c r="F182" s="1"/>
      <c r="H182" s="30"/>
    </row>
    <row r="183" spans="6:8" x14ac:dyDescent="0.25">
      <c r="F183" s="1"/>
      <c r="H183" s="30"/>
    </row>
    <row r="184" spans="6:8" x14ac:dyDescent="0.25">
      <c r="F184" s="1"/>
      <c r="H184" s="30"/>
    </row>
    <row r="185" spans="6:8" x14ac:dyDescent="0.25">
      <c r="F185" s="1"/>
      <c r="H185" s="30"/>
    </row>
    <row r="186" spans="6:8" x14ac:dyDescent="0.25">
      <c r="F186" s="1"/>
      <c r="H186" s="30"/>
    </row>
  </sheetData>
  <sheetProtection algorithmName="SHA-512" hashValue="gZbN2DazMdikjNiB+7rleSycTHa2OwboR4kqqoO6MVziVTDAaCeiBqOKQvSN3J5eSw2rNu0WXO9awYq4xDXOTA==" saltValue="hvrj7dZg9bTYeTQRmeh9fQ==" spinCount="100000" sheet="1" selectLockedCells="1"/>
  <pageMargins left="0.7" right="0.7" top="0.75" bottom="0.75" header="0.3" footer="0.3"/>
  <pageSetup paperSize="9" orientation="landscape" r:id="rId1"/>
  <ignoredErrors>
    <ignoredError sqref="H2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33BB-AA79-45D2-BCE6-15B9823676E1}">
  <dimension ref="A1:DZ51"/>
  <sheetViews>
    <sheetView topLeftCell="A4" workbookViewId="0">
      <selection activeCell="E38" sqref="E38"/>
    </sheetView>
  </sheetViews>
  <sheetFormatPr defaultColWidth="9.140625" defaultRowHeight="15" x14ac:dyDescent="0.25"/>
  <cols>
    <col min="1" max="1" width="2.85546875" style="1" customWidth="1"/>
    <col min="2" max="2" width="41" style="1" customWidth="1"/>
    <col min="3" max="3" width="13.85546875" style="1" bestFit="1" customWidth="1"/>
    <col min="4" max="4" width="19.5703125" style="22" bestFit="1" customWidth="1"/>
    <col min="5" max="5" width="13.7109375" style="20" customWidth="1"/>
    <col min="6" max="6" width="41.85546875" style="1" customWidth="1"/>
    <col min="7" max="7" width="13.42578125" style="1" customWidth="1"/>
    <col min="8" max="8" width="22.7109375" style="1" bestFit="1" customWidth="1"/>
    <col min="9" max="9" width="6.28515625" style="1" customWidth="1"/>
    <col min="10" max="10" width="41.28515625" style="1" bestFit="1" customWidth="1"/>
    <col min="11" max="11" width="6.28515625" style="1" bestFit="1" customWidth="1"/>
    <col min="12" max="12" width="10.5703125" style="1" bestFit="1" customWidth="1"/>
    <col min="13" max="13" width="12.7109375" style="1" bestFit="1" customWidth="1"/>
    <col min="14" max="16384" width="9.140625" style="1"/>
  </cols>
  <sheetData>
    <row r="1" spans="1:130" ht="15.75" customHeight="1" x14ac:dyDescent="0.35">
      <c r="C1" s="71"/>
      <c r="D1" s="72"/>
      <c r="E1" s="73"/>
      <c r="F1" s="71"/>
    </row>
    <row r="2" spans="1:130" ht="25.5" x14ac:dyDescent="0.35">
      <c r="B2" s="102" t="s">
        <v>166</v>
      </c>
      <c r="C2" s="71"/>
      <c r="D2" s="72"/>
      <c r="E2" s="73"/>
      <c r="F2" s="71"/>
    </row>
    <row r="3" spans="1:130" ht="11.25" customHeight="1" x14ac:dyDescent="0.35">
      <c r="B3" s="114"/>
      <c r="C3" s="71"/>
      <c r="D3" s="72"/>
      <c r="E3" s="73"/>
      <c r="F3" s="71"/>
    </row>
    <row r="4" spans="1:130" ht="23.25" x14ac:dyDescent="0.35">
      <c r="B4" s="110" t="s">
        <v>52</v>
      </c>
      <c r="C4" s="111"/>
      <c r="D4" s="112"/>
      <c r="E4" s="113"/>
      <c r="F4" s="110" t="s">
        <v>50</v>
      </c>
      <c r="J4" s="110" t="s">
        <v>167</v>
      </c>
    </row>
    <row r="5" spans="1:130" x14ac:dyDescent="0.25">
      <c r="B5" s="25"/>
      <c r="C5" s="25"/>
      <c r="D5" s="24"/>
      <c r="F5" s="25"/>
      <c r="P5" s="22"/>
      <c r="Q5" s="22"/>
      <c r="R5" s="20"/>
      <c r="S5" s="20"/>
      <c r="U5" s="21"/>
      <c r="V5" s="4"/>
      <c r="W5" s="4"/>
      <c r="X5" s="6"/>
      <c r="Y5" s="4"/>
      <c r="Z5" s="4"/>
      <c r="AA5" s="4"/>
      <c r="AB5" s="4"/>
    </row>
    <row r="6" spans="1:130" ht="15.75" x14ac:dyDescent="0.25">
      <c r="B6" s="65" t="s">
        <v>58</v>
      </c>
      <c r="C6" s="65" t="s">
        <v>3</v>
      </c>
      <c r="D6" s="69" t="s">
        <v>4</v>
      </c>
      <c r="E6" s="1"/>
      <c r="F6" s="65" t="s">
        <v>58</v>
      </c>
      <c r="G6" s="65" t="s">
        <v>3</v>
      </c>
      <c r="H6" s="69" t="s">
        <v>4</v>
      </c>
      <c r="J6" s="65" t="s">
        <v>173</v>
      </c>
      <c r="K6" s="70" t="s">
        <v>3</v>
      </c>
      <c r="L6" s="70" t="s">
        <v>4</v>
      </c>
      <c r="M6" s="70" t="s">
        <v>101</v>
      </c>
    </row>
    <row r="7" spans="1:130" ht="15.75" x14ac:dyDescent="0.25">
      <c r="B7" s="118"/>
      <c r="C7" s="118"/>
      <c r="D7" s="119"/>
      <c r="E7" s="1"/>
      <c r="F7" s="118"/>
      <c r="G7" s="118"/>
      <c r="H7" s="119"/>
      <c r="J7" s="38" t="s">
        <v>60</v>
      </c>
      <c r="K7" s="57" t="s">
        <v>2</v>
      </c>
      <c r="L7" s="58">
        <f>H11-D11</f>
        <v>1461438</v>
      </c>
      <c r="M7" s="59">
        <f>L7/D11</f>
        <v>7.5947934352009056E-2</v>
      </c>
    </row>
    <row r="8" spans="1:130" s="26" customFormat="1" ht="15" customHeight="1" x14ac:dyDescent="0.25">
      <c r="A8" s="1"/>
      <c r="B8" s="31" t="s">
        <v>92</v>
      </c>
      <c r="C8" s="31"/>
      <c r="D8" s="32"/>
      <c r="E8" s="1"/>
      <c r="F8" s="31" t="s">
        <v>92</v>
      </c>
      <c r="G8" s="31"/>
      <c r="H8" s="32"/>
      <c r="I8" s="1"/>
      <c r="J8" s="38" t="s">
        <v>53</v>
      </c>
      <c r="K8" s="57" t="s">
        <v>2</v>
      </c>
      <c r="L8" s="58">
        <f>H16-D16</f>
        <v>0</v>
      </c>
      <c r="M8" s="59">
        <f>L8/D16</f>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row>
    <row r="9" spans="1:130" s="26" customFormat="1" ht="15" customHeight="1" x14ac:dyDescent="0.25">
      <c r="A9" s="1"/>
      <c r="B9" s="33" t="s">
        <v>93</v>
      </c>
      <c r="C9" s="33" t="s">
        <v>2</v>
      </c>
      <c r="D9" s="34">
        <f>'Operating Variables'!D18*'Operating Variables'!D21</f>
        <v>19242630</v>
      </c>
      <c r="E9" s="1"/>
      <c r="F9" s="33" t="s">
        <v>93</v>
      </c>
      <c r="G9" s="33" t="s">
        <v>2</v>
      </c>
      <c r="H9" s="34">
        <f>'Operating Variables'!H18*'Operating Variables'!H21</f>
        <v>20704068</v>
      </c>
      <c r="I9" s="1"/>
      <c r="J9" s="38" t="s">
        <v>51</v>
      </c>
      <c r="K9" s="57" t="s">
        <v>2</v>
      </c>
      <c r="L9" s="58">
        <f>SUM(H18:H19)-SUM(D18:D19)</f>
        <v>-1442462.1749999998</v>
      </c>
      <c r="M9" s="59">
        <f>L9/SUM(D18:D19)</f>
        <v>-0.2633886626996555</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row>
    <row r="10" spans="1:130" ht="14.25" customHeight="1" x14ac:dyDescent="0.25">
      <c r="B10" s="33"/>
      <c r="C10" s="33"/>
      <c r="D10" s="115"/>
      <c r="E10" s="1"/>
      <c r="F10" s="33"/>
      <c r="G10" s="33"/>
      <c r="H10" s="115"/>
      <c r="J10" s="38" t="s">
        <v>13</v>
      </c>
      <c r="K10" s="57" t="s">
        <v>2</v>
      </c>
      <c r="L10" s="58">
        <f>SUM(H23:H24)-SUM(D23:D24)</f>
        <v>62253.53442000004</v>
      </c>
      <c r="M10" s="59">
        <f>L10/SUM(D23:D24)</f>
        <v>0.1382444622077228</v>
      </c>
    </row>
    <row r="11" spans="1:130" x14ac:dyDescent="0.25">
      <c r="B11" s="116" t="s">
        <v>18</v>
      </c>
      <c r="C11" s="37" t="s">
        <v>2</v>
      </c>
      <c r="D11" s="117">
        <f>SUM(D9:D9)</f>
        <v>19242630</v>
      </c>
      <c r="E11" s="1"/>
      <c r="F11" s="116" t="s">
        <v>18</v>
      </c>
      <c r="G11" s="37" t="s">
        <v>2</v>
      </c>
      <c r="H11" s="117">
        <f>SUM(H9:H9)</f>
        <v>20704068</v>
      </c>
      <c r="J11" s="38" t="s">
        <v>14</v>
      </c>
      <c r="K11" s="57" t="s">
        <v>2</v>
      </c>
      <c r="L11" s="58">
        <f>SUM(H26:H32)-SUM(D26:D32)</f>
        <v>-1486800</v>
      </c>
      <c r="M11" s="59">
        <f>L11/SUM(D26:D32)</f>
        <v>-0.25343642611683848</v>
      </c>
    </row>
    <row r="12" spans="1:130" ht="15.75" x14ac:dyDescent="0.25">
      <c r="B12" s="23"/>
      <c r="C12" s="23"/>
      <c r="D12" s="27"/>
      <c r="E12" s="1"/>
      <c r="F12" s="23"/>
      <c r="G12" s="23"/>
      <c r="H12" s="27"/>
      <c r="J12" s="38" t="s">
        <v>205</v>
      </c>
      <c r="K12" s="57" t="s">
        <v>2</v>
      </c>
      <c r="L12" s="58">
        <f>SUM(H34:H35)-SUM(D34:D35)</f>
        <v>22965.454285714193</v>
      </c>
      <c r="M12" s="59">
        <f>L12/SUM(D34:D35)</f>
        <v>3.248894073112208E-2</v>
      </c>
    </row>
    <row r="13" spans="1:130" ht="15.75" x14ac:dyDescent="0.25">
      <c r="B13" s="65" t="s">
        <v>59</v>
      </c>
      <c r="C13" s="65" t="s">
        <v>3</v>
      </c>
      <c r="D13" s="69" t="s">
        <v>4</v>
      </c>
      <c r="E13" s="1"/>
      <c r="F13" s="65" t="s">
        <v>59</v>
      </c>
      <c r="G13" s="65" t="s">
        <v>3</v>
      </c>
      <c r="H13" s="69" t="s">
        <v>4</v>
      </c>
      <c r="J13" s="38" t="s">
        <v>175</v>
      </c>
      <c r="K13" s="57" t="s">
        <v>2</v>
      </c>
      <c r="L13" s="58">
        <f>H42-D42</f>
        <v>3425481.1862942837</v>
      </c>
      <c r="M13" s="126">
        <f>L13/D42</f>
        <v>1.0522680144251264</v>
      </c>
    </row>
    <row r="14" spans="1:130" s="26" customFormat="1" ht="8.25" customHeight="1" x14ac:dyDescent="0.25">
      <c r="A14" s="1"/>
      <c r="B14" s="27"/>
      <c r="C14" s="27"/>
      <c r="D14" s="28"/>
      <c r="E14" s="1"/>
      <c r="F14" s="27"/>
      <c r="G14" s="27"/>
      <c r="H14" s="2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1:130" s="26" customFormat="1" ht="12.75" customHeight="1" x14ac:dyDescent="0.25">
      <c r="A15" s="1"/>
      <c r="B15" s="31" t="s">
        <v>130</v>
      </c>
      <c r="C15" s="33"/>
      <c r="D15" s="34"/>
      <c r="E15" s="1"/>
      <c r="F15" s="31" t="s">
        <v>130</v>
      </c>
      <c r="G15" s="33"/>
      <c r="H15" s="3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1:130" s="26" customFormat="1" ht="14.25" customHeight="1" x14ac:dyDescent="0.25">
      <c r="A16" s="1"/>
      <c r="B16" s="33" t="s">
        <v>131</v>
      </c>
      <c r="C16" s="33" t="s">
        <v>2</v>
      </c>
      <c r="D16" s="34">
        <f>'Operating Variables'!D25*'Operating Variables'!D30</f>
        <v>847000</v>
      </c>
      <c r="E16" s="1"/>
      <c r="F16" s="33" t="s">
        <v>131</v>
      </c>
      <c r="G16" s="33" t="s">
        <v>2</v>
      </c>
      <c r="H16" s="34">
        <f>'Operating Variables'!H25*'Operating Variables'!H30</f>
        <v>847000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2:10" x14ac:dyDescent="0.25">
      <c r="B17" s="31" t="s">
        <v>51</v>
      </c>
      <c r="C17" s="33"/>
      <c r="D17" s="34"/>
      <c r="E17" s="1"/>
      <c r="F17" s="31" t="s">
        <v>51</v>
      </c>
      <c r="G17" s="33"/>
      <c r="H17" s="34"/>
    </row>
    <row r="18" spans="2:10" x14ac:dyDescent="0.25">
      <c r="B18" s="33" t="s">
        <v>159</v>
      </c>
      <c r="C18" s="33" t="s">
        <v>2</v>
      </c>
      <c r="D18" s="34">
        <f>'Operating Variables'!D49*'Operating Variables'!D54</f>
        <v>3801685.3874999997</v>
      </c>
      <c r="E18" s="1"/>
      <c r="F18" s="33" t="s">
        <v>159</v>
      </c>
      <c r="G18" s="33" t="s">
        <v>2</v>
      </c>
      <c r="H18" s="34">
        <f>'Operating Variables'!H49*'Operating Variables'!H54</f>
        <v>3697917.3</v>
      </c>
    </row>
    <row r="19" spans="2:10" x14ac:dyDescent="0.25">
      <c r="B19" s="33" t="s">
        <v>160</v>
      </c>
      <c r="C19" s="33" t="s">
        <v>2</v>
      </c>
      <c r="D19" s="34">
        <f>'Operating Variables'!D50*'Operating Variables'!D55</f>
        <v>1674868.3875</v>
      </c>
      <c r="E19" s="1"/>
      <c r="F19" s="33" t="s">
        <v>160</v>
      </c>
      <c r="G19" s="33" t="s">
        <v>2</v>
      </c>
      <c r="H19" s="34">
        <f>'Operating Variables'!H50*'Operating Variables'!H55</f>
        <v>336174.3</v>
      </c>
    </row>
    <row r="20" spans="2:10" x14ac:dyDescent="0.25">
      <c r="B20" s="31" t="s">
        <v>61</v>
      </c>
      <c r="C20" s="33"/>
      <c r="D20" s="34"/>
      <c r="E20" s="1"/>
      <c r="F20" s="31" t="s">
        <v>61</v>
      </c>
      <c r="G20" s="33"/>
      <c r="H20" s="34"/>
    </row>
    <row r="21" spans="2:10" x14ac:dyDescent="0.25">
      <c r="B21" s="33" t="s">
        <v>65</v>
      </c>
      <c r="C21" s="33" t="s">
        <v>2</v>
      </c>
      <c r="D21" s="34">
        <f>'Operating Variables'!D59*'Operating Variables'!D60</f>
        <v>2640000</v>
      </c>
      <c r="E21" s="1"/>
      <c r="F21" s="33" t="s">
        <v>65</v>
      </c>
      <c r="G21" s="33" t="s">
        <v>2</v>
      </c>
      <c r="H21" s="34">
        <f>'Operating Variables'!H59*'Operating Variables'!H60</f>
        <v>3520000</v>
      </c>
    </row>
    <row r="22" spans="2:10" x14ac:dyDescent="0.25">
      <c r="B22" s="31" t="s">
        <v>13</v>
      </c>
      <c r="C22" s="33"/>
      <c r="D22" s="34"/>
      <c r="E22" s="1"/>
      <c r="F22" s="31" t="s">
        <v>13</v>
      </c>
      <c r="G22" s="33"/>
      <c r="H22" s="34"/>
      <c r="J22" s="127"/>
    </row>
    <row r="23" spans="2:10" x14ac:dyDescent="0.25">
      <c r="B23" s="33" t="s">
        <v>15</v>
      </c>
      <c r="C23" s="33" t="s">
        <v>2</v>
      </c>
      <c r="D23" s="34">
        <f>'Operating Variables'!D64*'Operating Variables'!D69</f>
        <v>282094.29863999999</v>
      </c>
      <c r="E23" s="1"/>
      <c r="F23" s="33" t="s">
        <v>15</v>
      </c>
      <c r="G23" s="33" t="s">
        <v>2</v>
      </c>
      <c r="H23" s="34">
        <f>'Operating Variables'!H64*'Operating Variables'!H69</f>
        <v>344347.83306000003</v>
      </c>
      <c r="J23" s="127"/>
    </row>
    <row r="24" spans="2:10" x14ac:dyDescent="0.25">
      <c r="B24" s="33" t="s">
        <v>16</v>
      </c>
      <c r="C24" s="33" t="s">
        <v>2</v>
      </c>
      <c r="D24" s="34">
        <f>('Operating Variables'!D66/1000)*'Operating Variables'!D70</f>
        <v>168220.55249999999</v>
      </c>
      <c r="E24" s="1"/>
      <c r="F24" s="33" t="s">
        <v>16</v>
      </c>
      <c r="G24" s="33" t="s">
        <v>2</v>
      </c>
      <c r="H24" s="34">
        <f>('Operating Variables'!H66/1000)*'Operating Variables'!H70</f>
        <v>168220.55249999999</v>
      </c>
    </row>
    <row r="25" spans="2:10" x14ac:dyDescent="0.25">
      <c r="B25" s="31" t="s">
        <v>14</v>
      </c>
      <c r="C25" s="33"/>
      <c r="D25" s="34"/>
      <c r="E25" s="1"/>
      <c r="F25" s="31" t="s">
        <v>14</v>
      </c>
      <c r="G25" s="33"/>
      <c r="H25" s="34"/>
    </row>
    <row r="26" spans="2:10" x14ac:dyDescent="0.25">
      <c r="B26" s="33" t="s">
        <v>27</v>
      </c>
      <c r="C26" s="33" t="s">
        <v>2</v>
      </c>
      <c r="D26" s="34">
        <f>'Operating Variables'!D74*'Operating Variables'!D73*'Operating Variables'!D83</f>
        <v>2993760</v>
      </c>
      <c r="E26" s="1"/>
      <c r="F26" s="33" t="s">
        <v>27</v>
      </c>
      <c r="G26" s="33" t="s">
        <v>2</v>
      </c>
      <c r="H26" s="34">
        <f>'Operating Variables'!H74*'Operating Variables'!H73*'Operating Variables'!H83</f>
        <v>1710720</v>
      </c>
    </row>
    <row r="27" spans="2:10" x14ac:dyDescent="0.25">
      <c r="B27" s="49" t="s">
        <v>122</v>
      </c>
      <c r="C27" s="33" t="s">
        <v>2</v>
      </c>
      <c r="D27" s="34">
        <f>'Operating Variables'!D75*'Operating Variables'!$D$73*'Operating Variables'!D84</f>
        <v>380160</v>
      </c>
      <c r="E27" s="1"/>
      <c r="F27" s="49" t="s">
        <v>122</v>
      </c>
      <c r="G27" s="33" t="s">
        <v>2</v>
      </c>
      <c r="H27" s="34">
        <f>'Operating Variables'!H75*'Operating Variables'!$D$73*'Operating Variables'!H84</f>
        <v>190080</v>
      </c>
    </row>
    <row r="28" spans="2:10" x14ac:dyDescent="0.25">
      <c r="B28" s="33" t="s">
        <v>28</v>
      </c>
      <c r="C28" s="33" t="s">
        <v>2</v>
      </c>
      <c r="D28" s="34">
        <f>'Operating Variables'!D76*'Operating Variables'!$D$73*'Operating Variables'!D85</f>
        <v>332640</v>
      </c>
      <c r="E28" s="1"/>
      <c r="F28" s="33" t="s">
        <v>28</v>
      </c>
      <c r="G28" s="33" t="s">
        <v>2</v>
      </c>
      <c r="H28" s="34">
        <f>'Operating Variables'!H76*'Operating Variables'!$D$73*'Operating Variables'!H85</f>
        <v>498960</v>
      </c>
    </row>
    <row r="29" spans="2:10" x14ac:dyDescent="0.25">
      <c r="B29" s="33" t="s">
        <v>29</v>
      </c>
      <c r="C29" s="33" t="s">
        <v>2</v>
      </c>
      <c r="D29" s="34">
        <f>'Operating Variables'!D77*'Operating Variables'!D86*12</f>
        <v>240000</v>
      </c>
      <c r="E29" s="1"/>
      <c r="F29" s="33" t="s">
        <v>29</v>
      </c>
      <c r="G29" s="33" t="s">
        <v>2</v>
      </c>
      <c r="H29" s="34">
        <f>'Operating Variables'!H77*'Operating Variables'!H86*'Operating Variables'!H10</f>
        <v>220000</v>
      </c>
    </row>
    <row r="30" spans="2:10" x14ac:dyDescent="0.25">
      <c r="B30" s="33" t="s">
        <v>121</v>
      </c>
      <c r="C30" s="33" t="s">
        <v>2</v>
      </c>
      <c r="D30" s="34">
        <f>'Operating Variables'!D78*'Operating Variables'!D87*12</f>
        <v>480000</v>
      </c>
      <c r="E30" s="1"/>
      <c r="F30" s="33" t="s">
        <v>121</v>
      </c>
      <c r="G30" s="33" t="s">
        <v>2</v>
      </c>
      <c r="H30" s="34">
        <f>'Operating Variables'!H77*'Operating Variables'!H87*'Operating Variables'!H10</f>
        <v>440000</v>
      </c>
    </row>
    <row r="31" spans="2:10" x14ac:dyDescent="0.25">
      <c r="B31" s="33" t="s">
        <v>120</v>
      </c>
      <c r="C31" s="33" t="s">
        <v>2</v>
      </c>
      <c r="D31" s="34">
        <f>'Operating Variables'!D88*'Operating Variables'!D79*12</f>
        <v>360000</v>
      </c>
      <c r="E31" s="1"/>
      <c r="F31" s="33" t="s">
        <v>120</v>
      </c>
      <c r="G31" s="33" t="s">
        <v>2</v>
      </c>
      <c r="H31" s="34">
        <f>'Operating Variables'!H79*'Operating Variables'!H88*'Operating Variables'!H10</f>
        <v>330000</v>
      </c>
    </row>
    <row r="32" spans="2:10" x14ac:dyDescent="0.25">
      <c r="B32" s="33" t="s">
        <v>30</v>
      </c>
      <c r="C32" s="33" t="s">
        <v>2</v>
      </c>
      <c r="D32" s="34">
        <f>'Operating Variables'!D80*'Operating Variables'!D89*12</f>
        <v>1080000</v>
      </c>
      <c r="E32" s="1"/>
      <c r="F32" s="33" t="s">
        <v>30</v>
      </c>
      <c r="G32" s="33" t="s">
        <v>2</v>
      </c>
      <c r="H32" s="34">
        <f>'Operating Variables'!H80*'Operating Variables'!H89*'Operating Variables'!H10</f>
        <v>990000</v>
      </c>
    </row>
    <row r="33" spans="2:8" x14ac:dyDescent="0.25">
      <c r="B33" s="31" t="s">
        <v>174</v>
      </c>
      <c r="C33" s="31"/>
      <c r="D33" s="34"/>
      <c r="E33" s="1"/>
      <c r="F33" s="31" t="s">
        <v>174</v>
      </c>
      <c r="G33" s="31"/>
      <c r="H33" s="34"/>
    </row>
    <row r="34" spans="2:8" x14ac:dyDescent="0.25">
      <c r="B34" s="33" t="s">
        <v>203</v>
      </c>
      <c r="C34" s="33" t="s">
        <v>2</v>
      </c>
      <c r="D34" s="34">
        <f>('Operating Variables'!D93/'Operating Variables'!D94)*'Operating Variables'!D100</f>
        <v>404485.71428571432</v>
      </c>
      <c r="E34" s="1"/>
      <c r="F34" s="33" t="s">
        <v>203</v>
      </c>
      <c r="G34" s="33" t="s">
        <v>2</v>
      </c>
      <c r="H34" s="34">
        <f>('Operating Variables'!H93/'Operating Variables'!H94)*'Operating Variables'!H100</f>
        <v>404485.71428571432</v>
      </c>
    </row>
    <row r="35" spans="2:8" x14ac:dyDescent="0.25">
      <c r="B35" s="33" t="s">
        <v>204</v>
      </c>
      <c r="C35" s="33" t="s">
        <v>2</v>
      </c>
      <c r="D35" s="34">
        <f>('Operating Variables'!D96/'Operating Variables'!D97)*'Operating Variables'!D101</f>
        <v>302384.1857142857</v>
      </c>
      <c r="E35" s="1"/>
      <c r="F35" s="33" t="s">
        <v>204</v>
      </c>
      <c r="G35" s="33" t="s">
        <v>2</v>
      </c>
      <c r="H35" s="34">
        <f>('Operating Variables'!H96/'Operating Variables'!H97)*'Operating Variables'!H101</f>
        <v>325349.63999999996</v>
      </c>
    </row>
    <row r="36" spans="2:8" ht="9" customHeight="1" x14ac:dyDescent="0.25">
      <c r="B36" s="33"/>
      <c r="C36" s="33"/>
      <c r="D36" s="35"/>
      <c r="E36" s="1"/>
      <c r="F36" s="33"/>
      <c r="G36" s="33"/>
      <c r="H36" s="35"/>
    </row>
    <row r="37" spans="2:8" x14ac:dyDescent="0.25">
      <c r="B37" s="116" t="s">
        <v>18</v>
      </c>
      <c r="C37" s="37" t="s">
        <v>2</v>
      </c>
      <c r="D37" s="117">
        <f>SUM(D16:D35)</f>
        <v>15987298.526139999</v>
      </c>
      <c r="E37" s="1"/>
      <c r="F37" s="116" t="s">
        <v>18</v>
      </c>
      <c r="G37" s="37" t="s">
        <v>2</v>
      </c>
      <c r="H37" s="117">
        <f>SUM(H16:H35)</f>
        <v>14023255.339845715</v>
      </c>
    </row>
    <row r="38" spans="2:8" x14ac:dyDescent="0.25">
      <c r="B38" s="120"/>
      <c r="C38" s="120"/>
      <c r="D38" s="120"/>
      <c r="E38" s="1"/>
      <c r="F38" s="120"/>
      <c r="G38" s="120"/>
      <c r="H38" s="120"/>
    </row>
    <row r="39" spans="2:8" ht="15.75" x14ac:dyDescent="0.25">
      <c r="B39" s="174" t="s">
        <v>176</v>
      </c>
      <c r="C39" s="174"/>
      <c r="D39" s="174"/>
      <c r="E39" s="1"/>
      <c r="F39" s="174" t="s">
        <v>177</v>
      </c>
      <c r="G39" s="174"/>
      <c r="H39" s="174"/>
    </row>
    <row r="40" spans="2:8" x14ac:dyDescent="0.25">
      <c r="B40" s="33" t="s">
        <v>12</v>
      </c>
      <c r="C40" s="33" t="s">
        <v>2</v>
      </c>
      <c r="D40" s="121">
        <f>D11</f>
        <v>19242630</v>
      </c>
      <c r="E40" s="1"/>
      <c r="F40" s="33" t="s">
        <v>12</v>
      </c>
      <c r="G40" s="33" t="s">
        <v>2</v>
      </c>
      <c r="H40" s="121">
        <f>H11</f>
        <v>20704068</v>
      </c>
    </row>
    <row r="41" spans="2:8" x14ac:dyDescent="0.25">
      <c r="B41" s="33" t="s">
        <v>11</v>
      </c>
      <c r="C41" s="33" t="s">
        <v>2</v>
      </c>
      <c r="D41" s="121">
        <f>D37</f>
        <v>15987298.526139999</v>
      </c>
      <c r="E41" s="1"/>
      <c r="F41" s="33" t="s">
        <v>11</v>
      </c>
      <c r="G41" s="33" t="s">
        <v>2</v>
      </c>
      <c r="H41" s="121">
        <f>H37</f>
        <v>14023255.339845715</v>
      </c>
    </row>
    <row r="42" spans="2:8" x14ac:dyDescent="0.25">
      <c r="B42" s="116" t="s">
        <v>136</v>
      </c>
      <c r="C42" s="37" t="s">
        <v>2</v>
      </c>
      <c r="D42" s="117">
        <f>D40-D41</f>
        <v>3255331.4738600012</v>
      </c>
      <c r="E42" s="1"/>
      <c r="F42" s="116" t="s">
        <v>136</v>
      </c>
      <c r="G42" s="37" t="s">
        <v>2</v>
      </c>
      <c r="H42" s="117">
        <f>H40-H41</f>
        <v>6680812.6601542849</v>
      </c>
    </row>
    <row r="43" spans="2:8" x14ac:dyDescent="0.25">
      <c r="B43" s="122"/>
      <c r="C43" s="122"/>
      <c r="D43" s="123"/>
      <c r="E43" s="1"/>
      <c r="F43" s="122"/>
      <c r="G43" s="122"/>
      <c r="H43" s="123"/>
    </row>
    <row r="44" spans="2:8" x14ac:dyDescent="0.25">
      <c r="D44" s="1"/>
      <c r="E44" s="1"/>
    </row>
    <row r="45" spans="2:8" x14ac:dyDescent="0.25">
      <c r="D45" s="1"/>
      <c r="E45" s="1"/>
      <c r="H45" s="83"/>
    </row>
    <row r="46" spans="2:8" x14ac:dyDescent="0.25">
      <c r="D46" s="1"/>
      <c r="E46" s="1"/>
    </row>
    <row r="47" spans="2:8" x14ac:dyDescent="0.25">
      <c r="D47" s="1"/>
      <c r="E47" s="1"/>
      <c r="G47" s="83"/>
    </row>
    <row r="48" spans="2:8" x14ac:dyDescent="0.25">
      <c r="D48" s="1"/>
      <c r="E48" s="1"/>
    </row>
    <row r="49" spans="4:5" x14ac:dyDescent="0.25">
      <c r="D49" s="1"/>
      <c r="E49" s="1"/>
    </row>
    <row r="50" spans="4:5" x14ac:dyDescent="0.25">
      <c r="D50" s="1"/>
      <c r="E50" s="1"/>
    </row>
    <row r="51" spans="4:5" x14ac:dyDescent="0.25">
      <c r="D51" s="84"/>
    </row>
  </sheetData>
  <sheetProtection algorithmName="SHA-512" hashValue="OW891bUu9r0EZlPh2gwmmdSIQIJkgGpeHGWO+OagZD1Yv9kmtmNpX0ohYTK0aLrfR5gvz+VP2Xyro06nJO8SRw==" saltValue="TeZrmrH6oh4D2W4N2X5M2A==" spinCount="100000" sheet="1" objects="1" scenarios="1" selectLockedCells="1" selectUnlockedCells="1"/>
  <mergeCells count="2">
    <mergeCell ref="B39:D39"/>
    <mergeCell ref="F39:H3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AF71-FF7C-4814-A77B-EB488C117C62}">
  <sheetPr>
    <pageSetUpPr fitToPage="1"/>
  </sheetPr>
  <dimension ref="B2:I26"/>
  <sheetViews>
    <sheetView workbookViewId="0">
      <pane xSplit="2" ySplit="4" topLeftCell="C5" activePane="bottomRight" state="frozen"/>
      <selection activeCell="D42" sqref="D42"/>
      <selection pane="topRight" activeCell="D42" sqref="D42"/>
      <selection pane="bottomLeft" activeCell="D42" sqref="D42"/>
      <selection pane="bottomRight" activeCell="E10" sqref="E10"/>
    </sheetView>
  </sheetViews>
  <sheetFormatPr defaultRowHeight="12.75" x14ac:dyDescent="0.2"/>
  <cols>
    <col min="1" max="1" width="2.85546875" style="68" customWidth="1"/>
    <col min="2" max="2" width="57" style="68" bestFit="1" customWidth="1"/>
    <col min="3" max="3" width="16.85546875" style="68" bestFit="1" customWidth="1"/>
    <col min="4" max="8" width="14.7109375" style="68" customWidth="1"/>
    <col min="9" max="9" width="17.7109375" style="68" customWidth="1"/>
    <col min="10" max="252" width="9.140625" style="68"/>
    <col min="253" max="253" width="32.28515625" style="68" bestFit="1" customWidth="1"/>
    <col min="254" max="254" width="15.7109375" style="68" customWidth="1"/>
    <col min="255" max="264" width="14.7109375" style="68" customWidth="1"/>
    <col min="265" max="265" width="17.7109375" style="68" customWidth="1"/>
    <col min="266" max="508" width="9.140625" style="68"/>
    <col min="509" max="509" width="32.28515625" style="68" bestFit="1" customWidth="1"/>
    <col min="510" max="510" width="15.7109375" style="68" customWidth="1"/>
    <col min="511" max="520" width="14.7109375" style="68" customWidth="1"/>
    <col min="521" max="521" width="17.7109375" style="68" customWidth="1"/>
    <col min="522" max="764" width="9.140625" style="68"/>
    <col min="765" max="765" width="32.28515625" style="68" bestFit="1" customWidth="1"/>
    <col min="766" max="766" width="15.7109375" style="68" customWidth="1"/>
    <col min="767" max="776" width="14.7109375" style="68" customWidth="1"/>
    <col min="777" max="777" width="17.7109375" style="68" customWidth="1"/>
    <col min="778" max="1020" width="9.140625" style="68"/>
    <col min="1021" max="1021" width="32.28515625" style="68" bestFit="1" customWidth="1"/>
    <col min="1022" max="1022" width="15.7109375" style="68" customWidth="1"/>
    <col min="1023" max="1032" width="14.7109375" style="68" customWidth="1"/>
    <col min="1033" max="1033" width="17.7109375" style="68" customWidth="1"/>
    <col min="1034" max="1276" width="9.140625" style="68"/>
    <col min="1277" max="1277" width="32.28515625" style="68" bestFit="1" customWidth="1"/>
    <col min="1278" max="1278" width="15.7109375" style="68" customWidth="1"/>
    <col min="1279" max="1288" width="14.7109375" style="68" customWidth="1"/>
    <col min="1289" max="1289" width="17.7109375" style="68" customWidth="1"/>
    <col min="1290" max="1532" width="9.140625" style="68"/>
    <col min="1533" max="1533" width="32.28515625" style="68" bestFit="1" customWidth="1"/>
    <col min="1534" max="1534" width="15.7109375" style="68" customWidth="1"/>
    <col min="1535" max="1544" width="14.7109375" style="68" customWidth="1"/>
    <col min="1545" max="1545" width="17.7109375" style="68" customWidth="1"/>
    <col min="1546" max="1788" width="9.140625" style="68"/>
    <col min="1789" max="1789" width="32.28515625" style="68" bestFit="1" customWidth="1"/>
    <col min="1790" max="1790" width="15.7109375" style="68" customWidth="1"/>
    <col min="1791" max="1800" width="14.7109375" style="68" customWidth="1"/>
    <col min="1801" max="1801" width="17.7109375" style="68" customWidth="1"/>
    <col min="1802" max="2044" width="9.140625" style="68"/>
    <col min="2045" max="2045" width="32.28515625" style="68" bestFit="1" customWidth="1"/>
    <col min="2046" max="2046" width="15.7109375" style="68" customWidth="1"/>
    <col min="2047" max="2056" width="14.7109375" style="68" customWidth="1"/>
    <col min="2057" max="2057" width="17.7109375" style="68" customWidth="1"/>
    <col min="2058" max="2300" width="9.140625" style="68"/>
    <col min="2301" max="2301" width="32.28515625" style="68" bestFit="1" customWidth="1"/>
    <col min="2302" max="2302" width="15.7109375" style="68" customWidth="1"/>
    <col min="2303" max="2312" width="14.7109375" style="68" customWidth="1"/>
    <col min="2313" max="2313" width="17.7109375" style="68" customWidth="1"/>
    <col min="2314" max="2556" width="9.140625" style="68"/>
    <col min="2557" max="2557" width="32.28515625" style="68" bestFit="1" customWidth="1"/>
    <col min="2558" max="2558" width="15.7109375" style="68" customWidth="1"/>
    <col min="2559" max="2568" width="14.7109375" style="68" customWidth="1"/>
    <col min="2569" max="2569" width="17.7109375" style="68" customWidth="1"/>
    <col min="2570" max="2812" width="9.140625" style="68"/>
    <col min="2813" max="2813" width="32.28515625" style="68" bestFit="1" customWidth="1"/>
    <col min="2814" max="2814" width="15.7109375" style="68" customWidth="1"/>
    <col min="2815" max="2824" width="14.7109375" style="68" customWidth="1"/>
    <col min="2825" max="2825" width="17.7109375" style="68" customWidth="1"/>
    <col min="2826" max="3068" width="9.140625" style="68"/>
    <col min="3069" max="3069" width="32.28515625" style="68" bestFit="1" customWidth="1"/>
    <col min="3070" max="3070" width="15.7109375" style="68" customWidth="1"/>
    <col min="3071" max="3080" width="14.7109375" style="68" customWidth="1"/>
    <col min="3081" max="3081" width="17.7109375" style="68" customWidth="1"/>
    <col min="3082" max="3324" width="9.140625" style="68"/>
    <col min="3325" max="3325" width="32.28515625" style="68" bestFit="1" customWidth="1"/>
    <col min="3326" max="3326" width="15.7109375" style="68" customWidth="1"/>
    <col min="3327" max="3336" width="14.7109375" style="68" customWidth="1"/>
    <col min="3337" max="3337" width="17.7109375" style="68" customWidth="1"/>
    <col min="3338" max="3580" width="9.140625" style="68"/>
    <col min="3581" max="3581" width="32.28515625" style="68" bestFit="1" customWidth="1"/>
    <col min="3582" max="3582" width="15.7109375" style="68" customWidth="1"/>
    <col min="3583" max="3592" width="14.7109375" style="68" customWidth="1"/>
    <col min="3593" max="3593" width="17.7109375" style="68" customWidth="1"/>
    <col min="3594" max="3836" width="9.140625" style="68"/>
    <col min="3837" max="3837" width="32.28515625" style="68" bestFit="1" customWidth="1"/>
    <col min="3838" max="3838" width="15.7109375" style="68" customWidth="1"/>
    <col min="3839" max="3848" width="14.7109375" style="68" customWidth="1"/>
    <col min="3849" max="3849" width="17.7109375" style="68" customWidth="1"/>
    <col min="3850" max="4092" width="9.140625" style="68"/>
    <col min="4093" max="4093" width="32.28515625" style="68" bestFit="1" customWidth="1"/>
    <col min="4094" max="4094" width="15.7109375" style="68" customWidth="1"/>
    <col min="4095" max="4104" width="14.7109375" style="68" customWidth="1"/>
    <col min="4105" max="4105" width="17.7109375" style="68" customWidth="1"/>
    <col min="4106" max="4348" width="9.140625" style="68"/>
    <col min="4349" max="4349" width="32.28515625" style="68" bestFit="1" customWidth="1"/>
    <col min="4350" max="4350" width="15.7109375" style="68" customWidth="1"/>
    <col min="4351" max="4360" width="14.7109375" style="68" customWidth="1"/>
    <col min="4361" max="4361" width="17.7109375" style="68" customWidth="1"/>
    <col min="4362" max="4604" width="9.140625" style="68"/>
    <col min="4605" max="4605" width="32.28515625" style="68" bestFit="1" customWidth="1"/>
    <col min="4606" max="4606" width="15.7109375" style="68" customWidth="1"/>
    <col min="4607" max="4616" width="14.7109375" style="68" customWidth="1"/>
    <col min="4617" max="4617" width="17.7109375" style="68" customWidth="1"/>
    <col min="4618" max="4860" width="9.140625" style="68"/>
    <col min="4861" max="4861" width="32.28515625" style="68" bestFit="1" customWidth="1"/>
    <col min="4862" max="4862" width="15.7109375" style="68" customWidth="1"/>
    <col min="4863" max="4872" width="14.7109375" style="68" customWidth="1"/>
    <col min="4873" max="4873" width="17.7109375" style="68" customWidth="1"/>
    <col min="4874" max="5116" width="9.140625" style="68"/>
    <col min="5117" max="5117" width="32.28515625" style="68" bestFit="1" customWidth="1"/>
    <col min="5118" max="5118" width="15.7109375" style="68" customWidth="1"/>
    <col min="5119" max="5128" width="14.7109375" style="68" customWidth="1"/>
    <col min="5129" max="5129" width="17.7109375" style="68" customWidth="1"/>
    <col min="5130" max="5372" width="9.140625" style="68"/>
    <col min="5373" max="5373" width="32.28515625" style="68" bestFit="1" customWidth="1"/>
    <col min="5374" max="5374" width="15.7109375" style="68" customWidth="1"/>
    <col min="5375" max="5384" width="14.7109375" style="68" customWidth="1"/>
    <col min="5385" max="5385" width="17.7109375" style="68" customWidth="1"/>
    <col min="5386" max="5628" width="9.140625" style="68"/>
    <col min="5629" max="5629" width="32.28515625" style="68" bestFit="1" customWidth="1"/>
    <col min="5630" max="5630" width="15.7109375" style="68" customWidth="1"/>
    <col min="5631" max="5640" width="14.7109375" style="68" customWidth="1"/>
    <col min="5641" max="5641" width="17.7109375" style="68" customWidth="1"/>
    <col min="5642" max="5884" width="9.140625" style="68"/>
    <col min="5885" max="5885" width="32.28515625" style="68" bestFit="1" customWidth="1"/>
    <col min="5886" max="5886" width="15.7109375" style="68" customWidth="1"/>
    <col min="5887" max="5896" width="14.7109375" style="68" customWidth="1"/>
    <col min="5897" max="5897" width="17.7109375" style="68" customWidth="1"/>
    <col min="5898" max="6140" width="9.140625" style="68"/>
    <col min="6141" max="6141" width="32.28515625" style="68" bestFit="1" customWidth="1"/>
    <col min="6142" max="6142" width="15.7109375" style="68" customWidth="1"/>
    <col min="6143" max="6152" width="14.7109375" style="68" customWidth="1"/>
    <col min="6153" max="6153" width="17.7109375" style="68" customWidth="1"/>
    <col min="6154" max="6396" width="9.140625" style="68"/>
    <col min="6397" max="6397" width="32.28515625" style="68" bestFit="1" customWidth="1"/>
    <col min="6398" max="6398" width="15.7109375" style="68" customWidth="1"/>
    <col min="6399" max="6408" width="14.7109375" style="68" customWidth="1"/>
    <col min="6409" max="6409" width="17.7109375" style="68" customWidth="1"/>
    <col min="6410" max="6652" width="9.140625" style="68"/>
    <col min="6653" max="6653" width="32.28515625" style="68" bestFit="1" customWidth="1"/>
    <col min="6654" max="6654" width="15.7109375" style="68" customWidth="1"/>
    <col min="6655" max="6664" width="14.7109375" style="68" customWidth="1"/>
    <col min="6665" max="6665" width="17.7109375" style="68" customWidth="1"/>
    <col min="6666" max="6908" width="9.140625" style="68"/>
    <col min="6909" max="6909" width="32.28515625" style="68" bestFit="1" customWidth="1"/>
    <col min="6910" max="6910" width="15.7109375" style="68" customWidth="1"/>
    <col min="6911" max="6920" width="14.7109375" style="68" customWidth="1"/>
    <col min="6921" max="6921" width="17.7109375" style="68" customWidth="1"/>
    <col min="6922" max="7164" width="9.140625" style="68"/>
    <col min="7165" max="7165" width="32.28515625" style="68" bestFit="1" customWidth="1"/>
    <col min="7166" max="7166" width="15.7109375" style="68" customWidth="1"/>
    <col min="7167" max="7176" width="14.7109375" style="68" customWidth="1"/>
    <col min="7177" max="7177" width="17.7109375" style="68" customWidth="1"/>
    <col min="7178" max="7420" width="9.140625" style="68"/>
    <col min="7421" max="7421" width="32.28515625" style="68" bestFit="1" customWidth="1"/>
    <col min="7422" max="7422" width="15.7109375" style="68" customWidth="1"/>
    <col min="7423" max="7432" width="14.7109375" style="68" customWidth="1"/>
    <col min="7433" max="7433" width="17.7109375" style="68" customWidth="1"/>
    <col min="7434" max="7676" width="9.140625" style="68"/>
    <col min="7677" max="7677" width="32.28515625" style="68" bestFit="1" customWidth="1"/>
    <col min="7678" max="7678" width="15.7109375" style="68" customWidth="1"/>
    <col min="7679" max="7688" width="14.7109375" style="68" customWidth="1"/>
    <col min="7689" max="7689" width="17.7109375" style="68" customWidth="1"/>
    <col min="7690" max="7932" width="9.140625" style="68"/>
    <col min="7933" max="7933" width="32.28515625" style="68" bestFit="1" customWidth="1"/>
    <col min="7934" max="7934" width="15.7109375" style="68" customWidth="1"/>
    <col min="7935" max="7944" width="14.7109375" style="68" customWidth="1"/>
    <col min="7945" max="7945" width="17.7109375" style="68" customWidth="1"/>
    <col min="7946" max="8188" width="9.140625" style="68"/>
    <col min="8189" max="8189" width="32.28515625" style="68" bestFit="1" customWidth="1"/>
    <col min="8190" max="8190" width="15.7109375" style="68" customWidth="1"/>
    <col min="8191" max="8200" width="14.7109375" style="68" customWidth="1"/>
    <col min="8201" max="8201" width="17.7109375" style="68" customWidth="1"/>
    <col min="8202" max="8444" width="9.140625" style="68"/>
    <col min="8445" max="8445" width="32.28515625" style="68" bestFit="1" customWidth="1"/>
    <col min="8446" max="8446" width="15.7109375" style="68" customWidth="1"/>
    <col min="8447" max="8456" width="14.7109375" style="68" customWidth="1"/>
    <col min="8457" max="8457" width="17.7109375" style="68" customWidth="1"/>
    <col min="8458" max="8700" width="9.140625" style="68"/>
    <col min="8701" max="8701" width="32.28515625" style="68" bestFit="1" customWidth="1"/>
    <col min="8702" max="8702" width="15.7109375" style="68" customWidth="1"/>
    <col min="8703" max="8712" width="14.7109375" style="68" customWidth="1"/>
    <col min="8713" max="8713" width="17.7109375" style="68" customWidth="1"/>
    <col min="8714" max="8956" width="9.140625" style="68"/>
    <col min="8957" max="8957" width="32.28515625" style="68" bestFit="1" customWidth="1"/>
    <col min="8958" max="8958" width="15.7109375" style="68" customWidth="1"/>
    <col min="8959" max="8968" width="14.7109375" style="68" customWidth="1"/>
    <col min="8969" max="8969" width="17.7109375" style="68" customWidth="1"/>
    <col min="8970" max="9212" width="9.140625" style="68"/>
    <col min="9213" max="9213" width="32.28515625" style="68" bestFit="1" customWidth="1"/>
    <col min="9214" max="9214" width="15.7109375" style="68" customWidth="1"/>
    <col min="9215" max="9224" width="14.7109375" style="68" customWidth="1"/>
    <col min="9225" max="9225" width="17.7109375" style="68" customWidth="1"/>
    <col min="9226" max="9468" width="9.140625" style="68"/>
    <col min="9469" max="9469" width="32.28515625" style="68" bestFit="1" customWidth="1"/>
    <col min="9470" max="9470" width="15.7109375" style="68" customWidth="1"/>
    <col min="9471" max="9480" width="14.7109375" style="68" customWidth="1"/>
    <col min="9481" max="9481" width="17.7109375" style="68" customWidth="1"/>
    <col min="9482" max="9724" width="9.140625" style="68"/>
    <col min="9725" max="9725" width="32.28515625" style="68" bestFit="1" customWidth="1"/>
    <col min="9726" max="9726" width="15.7109375" style="68" customWidth="1"/>
    <col min="9727" max="9736" width="14.7109375" style="68" customWidth="1"/>
    <col min="9737" max="9737" width="17.7109375" style="68" customWidth="1"/>
    <col min="9738" max="9980" width="9.140625" style="68"/>
    <col min="9981" max="9981" width="32.28515625" style="68" bestFit="1" customWidth="1"/>
    <col min="9982" max="9982" width="15.7109375" style="68" customWidth="1"/>
    <col min="9983" max="9992" width="14.7109375" style="68" customWidth="1"/>
    <col min="9993" max="9993" width="17.7109375" style="68" customWidth="1"/>
    <col min="9994" max="10236" width="9.140625" style="68"/>
    <col min="10237" max="10237" width="32.28515625" style="68" bestFit="1" customWidth="1"/>
    <col min="10238" max="10238" width="15.7109375" style="68" customWidth="1"/>
    <col min="10239" max="10248" width="14.7109375" style="68" customWidth="1"/>
    <col min="10249" max="10249" width="17.7109375" style="68" customWidth="1"/>
    <col min="10250" max="10492" width="9.140625" style="68"/>
    <col min="10493" max="10493" width="32.28515625" style="68" bestFit="1" customWidth="1"/>
    <col min="10494" max="10494" width="15.7109375" style="68" customWidth="1"/>
    <col min="10495" max="10504" width="14.7109375" style="68" customWidth="1"/>
    <col min="10505" max="10505" width="17.7109375" style="68" customWidth="1"/>
    <col min="10506" max="10748" width="9.140625" style="68"/>
    <col min="10749" max="10749" width="32.28515625" style="68" bestFit="1" customWidth="1"/>
    <col min="10750" max="10750" width="15.7109375" style="68" customWidth="1"/>
    <col min="10751" max="10760" width="14.7109375" style="68" customWidth="1"/>
    <col min="10761" max="10761" width="17.7109375" style="68" customWidth="1"/>
    <col min="10762" max="11004" width="9.140625" style="68"/>
    <col min="11005" max="11005" width="32.28515625" style="68" bestFit="1" customWidth="1"/>
    <col min="11006" max="11006" width="15.7109375" style="68" customWidth="1"/>
    <col min="11007" max="11016" width="14.7109375" style="68" customWidth="1"/>
    <col min="11017" max="11017" width="17.7109375" style="68" customWidth="1"/>
    <col min="11018" max="11260" width="9.140625" style="68"/>
    <col min="11261" max="11261" width="32.28515625" style="68" bestFit="1" customWidth="1"/>
    <col min="11262" max="11262" width="15.7109375" style="68" customWidth="1"/>
    <col min="11263" max="11272" width="14.7109375" style="68" customWidth="1"/>
    <col min="11273" max="11273" width="17.7109375" style="68" customWidth="1"/>
    <col min="11274" max="11516" width="9.140625" style="68"/>
    <col min="11517" max="11517" width="32.28515625" style="68" bestFit="1" customWidth="1"/>
    <col min="11518" max="11518" width="15.7109375" style="68" customWidth="1"/>
    <col min="11519" max="11528" width="14.7109375" style="68" customWidth="1"/>
    <col min="11529" max="11529" width="17.7109375" style="68" customWidth="1"/>
    <col min="11530" max="11772" width="9.140625" style="68"/>
    <col min="11773" max="11773" width="32.28515625" style="68" bestFit="1" customWidth="1"/>
    <col min="11774" max="11774" width="15.7109375" style="68" customWidth="1"/>
    <col min="11775" max="11784" width="14.7109375" style="68" customWidth="1"/>
    <col min="11785" max="11785" width="17.7109375" style="68" customWidth="1"/>
    <col min="11786" max="12028" width="9.140625" style="68"/>
    <col min="12029" max="12029" width="32.28515625" style="68" bestFit="1" customWidth="1"/>
    <col min="12030" max="12030" width="15.7109375" style="68" customWidth="1"/>
    <col min="12031" max="12040" width="14.7109375" style="68" customWidth="1"/>
    <col min="12041" max="12041" width="17.7109375" style="68" customWidth="1"/>
    <col min="12042" max="12284" width="9.140625" style="68"/>
    <col min="12285" max="12285" width="32.28515625" style="68" bestFit="1" customWidth="1"/>
    <col min="12286" max="12286" width="15.7109375" style="68" customWidth="1"/>
    <col min="12287" max="12296" width="14.7109375" style="68" customWidth="1"/>
    <col min="12297" max="12297" width="17.7109375" style="68" customWidth="1"/>
    <col min="12298" max="12540" width="9.140625" style="68"/>
    <col min="12541" max="12541" width="32.28515625" style="68" bestFit="1" customWidth="1"/>
    <col min="12542" max="12542" width="15.7109375" style="68" customWidth="1"/>
    <col min="12543" max="12552" width="14.7109375" style="68" customWidth="1"/>
    <col min="12553" max="12553" width="17.7109375" style="68" customWidth="1"/>
    <col min="12554" max="12796" width="9.140625" style="68"/>
    <col min="12797" max="12797" width="32.28515625" style="68" bestFit="1" customWidth="1"/>
    <col min="12798" max="12798" width="15.7109375" style="68" customWidth="1"/>
    <col min="12799" max="12808" width="14.7109375" style="68" customWidth="1"/>
    <col min="12809" max="12809" width="17.7109375" style="68" customWidth="1"/>
    <col min="12810" max="13052" width="9.140625" style="68"/>
    <col min="13053" max="13053" width="32.28515625" style="68" bestFit="1" customWidth="1"/>
    <col min="13054" max="13054" width="15.7109375" style="68" customWidth="1"/>
    <col min="13055" max="13064" width="14.7109375" style="68" customWidth="1"/>
    <col min="13065" max="13065" width="17.7109375" style="68" customWidth="1"/>
    <col min="13066" max="13308" width="9.140625" style="68"/>
    <col min="13309" max="13309" width="32.28515625" style="68" bestFit="1" customWidth="1"/>
    <col min="13310" max="13310" width="15.7109375" style="68" customWidth="1"/>
    <col min="13311" max="13320" width="14.7109375" style="68" customWidth="1"/>
    <col min="13321" max="13321" width="17.7109375" style="68" customWidth="1"/>
    <col min="13322" max="13564" width="9.140625" style="68"/>
    <col min="13565" max="13565" width="32.28515625" style="68" bestFit="1" customWidth="1"/>
    <col min="13566" max="13566" width="15.7109375" style="68" customWidth="1"/>
    <col min="13567" max="13576" width="14.7109375" style="68" customWidth="1"/>
    <col min="13577" max="13577" width="17.7109375" style="68" customWidth="1"/>
    <col min="13578" max="13820" width="9.140625" style="68"/>
    <col min="13821" max="13821" width="32.28515625" style="68" bestFit="1" customWidth="1"/>
    <col min="13822" max="13822" width="15.7109375" style="68" customWidth="1"/>
    <col min="13823" max="13832" width="14.7109375" style="68" customWidth="1"/>
    <col min="13833" max="13833" width="17.7109375" style="68" customWidth="1"/>
    <col min="13834" max="14076" width="9.140625" style="68"/>
    <col min="14077" max="14077" width="32.28515625" style="68" bestFit="1" customWidth="1"/>
    <col min="14078" max="14078" width="15.7109375" style="68" customWidth="1"/>
    <col min="14079" max="14088" width="14.7109375" style="68" customWidth="1"/>
    <col min="14089" max="14089" width="17.7109375" style="68" customWidth="1"/>
    <col min="14090" max="14332" width="9.140625" style="68"/>
    <col min="14333" max="14333" width="32.28515625" style="68" bestFit="1" customWidth="1"/>
    <col min="14334" max="14334" width="15.7109375" style="68" customWidth="1"/>
    <col min="14335" max="14344" width="14.7109375" style="68" customWidth="1"/>
    <col min="14345" max="14345" width="17.7109375" style="68" customWidth="1"/>
    <col min="14346" max="14588" width="9.140625" style="68"/>
    <col min="14589" max="14589" width="32.28515625" style="68" bestFit="1" customWidth="1"/>
    <col min="14590" max="14590" width="15.7109375" style="68" customWidth="1"/>
    <col min="14591" max="14600" width="14.7109375" style="68" customWidth="1"/>
    <col min="14601" max="14601" width="17.7109375" style="68" customWidth="1"/>
    <col min="14602" max="14844" width="9.140625" style="68"/>
    <col min="14845" max="14845" width="32.28515625" style="68" bestFit="1" customWidth="1"/>
    <col min="14846" max="14846" width="15.7109375" style="68" customWidth="1"/>
    <col min="14847" max="14856" width="14.7109375" style="68" customWidth="1"/>
    <col min="14857" max="14857" width="17.7109375" style="68" customWidth="1"/>
    <col min="14858" max="15100" width="9.140625" style="68"/>
    <col min="15101" max="15101" width="32.28515625" style="68" bestFit="1" customWidth="1"/>
    <col min="15102" max="15102" width="15.7109375" style="68" customWidth="1"/>
    <col min="15103" max="15112" width="14.7109375" style="68" customWidth="1"/>
    <col min="15113" max="15113" width="17.7109375" style="68" customWidth="1"/>
    <col min="15114" max="15356" width="9.140625" style="68"/>
    <col min="15357" max="15357" width="32.28515625" style="68" bestFit="1" customWidth="1"/>
    <col min="15358" max="15358" width="15.7109375" style="68" customWidth="1"/>
    <col min="15359" max="15368" width="14.7109375" style="68" customWidth="1"/>
    <col min="15369" max="15369" width="17.7109375" style="68" customWidth="1"/>
    <col min="15370" max="15612" width="9.140625" style="68"/>
    <col min="15613" max="15613" width="32.28515625" style="68" bestFit="1" customWidth="1"/>
    <col min="15614" max="15614" width="15.7109375" style="68" customWidth="1"/>
    <col min="15615" max="15624" width="14.7109375" style="68" customWidth="1"/>
    <col min="15625" max="15625" width="17.7109375" style="68" customWidth="1"/>
    <col min="15626" max="15868" width="9.140625" style="68"/>
    <col min="15869" max="15869" width="32.28515625" style="68" bestFit="1" customWidth="1"/>
    <col min="15870" max="15870" width="15.7109375" style="68" customWidth="1"/>
    <col min="15871" max="15880" width="14.7109375" style="68" customWidth="1"/>
    <col min="15881" max="15881" width="17.7109375" style="68" customWidth="1"/>
    <col min="15882" max="16124" width="9.140625" style="68"/>
    <col min="16125" max="16125" width="32.28515625" style="68" bestFit="1" customWidth="1"/>
    <col min="16126" max="16126" width="15.7109375" style="68" customWidth="1"/>
    <col min="16127" max="16136" width="14.7109375" style="68" customWidth="1"/>
    <col min="16137" max="16137" width="17.7109375" style="68" customWidth="1"/>
    <col min="16138" max="16384" width="9.140625" style="68"/>
  </cols>
  <sheetData>
    <row r="2" spans="2:9" ht="25.5" x14ac:dyDescent="0.2">
      <c r="B2" s="102" t="s">
        <v>168</v>
      </c>
    </row>
    <row r="3" spans="2:9" ht="15" x14ac:dyDescent="0.25">
      <c r="B3" s="1"/>
    </row>
    <row r="4" spans="2:9" ht="18" customHeight="1" x14ac:dyDescent="0.2">
      <c r="B4" s="124"/>
      <c r="C4" s="130" t="s">
        <v>54</v>
      </c>
      <c r="D4" s="130">
        <v>1</v>
      </c>
      <c r="E4" s="130">
        <v>2</v>
      </c>
      <c r="F4" s="130">
        <v>3</v>
      </c>
      <c r="G4" s="130">
        <v>4</v>
      </c>
      <c r="H4" s="130">
        <v>5</v>
      </c>
      <c r="I4" s="130" t="s">
        <v>55</v>
      </c>
    </row>
    <row r="5" spans="2:9" ht="16.5" customHeight="1" x14ac:dyDescent="0.2">
      <c r="B5" s="131" t="s">
        <v>214</v>
      </c>
      <c r="C5" s="148">
        <f>-'Headline Inputs '!F5</f>
        <v>-2300000</v>
      </c>
      <c r="D5" s="133"/>
      <c r="E5" s="133"/>
      <c r="F5" s="133"/>
      <c r="G5" s="133"/>
      <c r="H5" s="133"/>
      <c r="I5" s="133"/>
    </row>
    <row r="6" spans="2:9" x14ac:dyDescent="0.2">
      <c r="B6" s="134"/>
      <c r="C6" s="132"/>
      <c r="D6" s="132"/>
      <c r="E6" s="132"/>
      <c r="F6" s="132"/>
      <c r="G6" s="132"/>
      <c r="H6" s="132"/>
      <c r="I6" s="132"/>
    </row>
    <row r="7" spans="2:9" x14ac:dyDescent="0.2">
      <c r="B7" s="135" t="s">
        <v>138</v>
      </c>
      <c r="C7" s="175"/>
      <c r="D7" s="176"/>
      <c r="E7" s="176"/>
      <c r="F7" s="176"/>
      <c r="G7" s="176"/>
      <c r="H7" s="176"/>
      <c r="I7" s="177"/>
    </row>
    <row r="8" spans="2:9" x14ac:dyDescent="0.2">
      <c r="B8" s="136"/>
      <c r="C8" s="155"/>
      <c r="D8" s="156"/>
      <c r="E8" s="156"/>
      <c r="F8" s="156"/>
      <c r="G8" s="156"/>
      <c r="H8" s="156"/>
      <c r="I8" s="157"/>
    </row>
    <row r="9" spans="2:9" x14ac:dyDescent="0.2">
      <c r="B9" s="136" t="s">
        <v>217</v>
      </c>
      <c r="C9" s="137">
        <f>C5</f>
        <v>-2300000</v>
      </c>
      <c r="D9" s="137">
        <f>-'Cash Flow'!$L$9</f>
        <v>1442462.1749999998</v>
      </c>
      <c r="E9" s="137">
        <f>-'Cash Flow'!$L$9</f>
        <v>1442462.1749999998</v>
      </c>
      <c r="F9" s="137">
        <f>-'Cash Flow'!$L$9</f>
        <v>1442462.1749999998</v>
      </c>
      <c r="G9" s="137">
        <f>-'Cash Flow'!$L$9</f>
        <v>1442462.1749999998</v>
      </c>
      <c r="H9" s="137">
        <f>-'Cash Flow'!$L$9</f>
        <v>1442462.1749999998</v>
      </c>
      <c r="I9" s="132">
        <f>SUM(D9:H9)</f>
        <v>7212310.8749999991</v>
      </c>
    </row>
    <row r="10" spans="2:9" x14ac:dyDescent="0.2">
      <c r="B10" s="136"/>
      <c r="C10" s="137"/>
      <c r="D10" s="137"/>
      <c r="E10" s="137"/>
      <c r="F10" s="137"/>
      <c r="G10" s="137"/>
      <c r="H10" s="137"/>
      <c r="I10" s="132"/>
    </row>
    <row r="11" spans="2:9" x14ac:dyDescent="0.2">
      <c r="B11" s="136" t="s">
        <v>218</v>
      </c>
      <c r="C11" s="137">
        <f>C5</f>
        <v>-2300000</v>
      </c>
      <c r="D11" s="137">
        <f>-'Cash Flow'!$L$9+'Cash Flow'!$L$7</f>
        <v>2903900.1749999998</v>
      </c>
      <c r="E11" s="137">
        <f>-'Cash Flow'!$L$9+'Cash Flow'!$L$7</f>
        <v>2903900.1749999998</v>
      </c>
      <c r="F11" s="137">
        <f>-'Cash Flow'!$L$9+'Cash Flow'!$L$7</f>
        <v>2903900.1749999998</v>
      </c>
      <c r="G11" s="137">
        <f>-'Cash Flow'!$L$9+'Cash Flow'!$L$7</f>
        <v>2903900.1749999998</v>
      </c>
      <c r="H11" s="137">
        <f>-'Cash Flow'!$L$9+'Cash Flow'!$L$7</f>
        <v>2903900.1749999998</v>
      </c>
      <c r="I11" s="132">
        <f>SUM(D11:H11)</f>
        <v>14519500.875</v>
      </c>
    </row>
    <row r="12" spans="2:9" x14ac:dyDescent="0.2">
      <c r="B12" s="138"/>
      <c r="C12" s="137"/>
      <c r="D12" s="137"/>
      <c r="E12" s="137"/>
      <c r="F12" s="137"/>
      <c r="G12" s="137"/>
      <c r="H12" s="137"/>
      <c r="I12" s="132"/>
    </row>
    <row r="13" spans="2:9" x14ac:dyDescent="0.2">
      <c r="B13" s="139" t="s">
        <v>139</v>
      </c>
      <c r="C13" s="137"/>
      <c r="D13" s="178"/>
      <c r="E13" s="179"/>
      <c r="F13" s="179"/>
      <c r="G13" s="179"/>
      <c r="H13" s="179"/>
      <c r="I13" s="180"/>
    </row>
    <row r="14" spans="2:9" x14ac:dyDescent="0.2">
      <c r="B14" s="140" t="s">
        <v>215</v>
      </c>
      <c r="C14" s="141">
        <f>NPV('Headline Inputs '!F6,D9:H9)+C9</f>
        <v>3168066.5283621326</v>
      </c>
      <c r="D14" s="181"/>
      <c r="E14" s="182"/>
      <c r="F14" s="182"/>
      <c r="G14" s="182"/>
      <c r="H14" s="182"/>
      <c r="I14" s="183"/>
    </row>
    <row r="15" spans="2:9" x14ac:dyDescent="0.2">
      <c r="B15" s="140" t="s">
        <v>56</v>
      </c>
      <c r="C15" s="143">
        <f>PV('Headline Inputs '!F6,5,D9)/C9</f>
        <v>2.3774202297226679</v>
      </c>
      <c r="D15" s="181"/>
      <c r="E15" s="182"/>
      <c r="F15" s="182"/>
      <c r="G15" s="182"/>
      <c r="H15" s="182"/>
      <c r="I15" s="183"/>
    </row>
    <row r="16" spans="2:9" x14ac:dyDescent="0.2">
      <c r="B16" s="140" t="s">
        <v>216</v>
      </c>
      <c r="C16" s="144">
        <f>-IF(C9-D9&lt;0,C9/D9,(IF((C9-D9-E9)&lt;0,(1+((C9-D9)/E9)),(IF((C9-D9-E9-F9)&lt;0,(2+((C9-D9-E9)/F9)),(IF((C9-D9-E9-F9-G9)&lt;0,(3+((C9-D9-E9-F9)/G9)),(IF((C9-D9-E9-F9-G9-H9)&lt;0,(4+((C9-D9-E9-F9-G9/H9))))))))))))</f>
        <v>1.5944958834015874</v>
      </c>
      <c r="D16" s="181"/>
      <c r="E16" s="182"/>
      <c r="F16" s="182"/>
      <c r="G16" s="182"/>
      <c r="H16" s="182"/>
      <c r="I16" s="183"/>
    </row>
    <row r="17" spans="2:9" x14ac:dyDescent="0.2">
      <c r="B17" s="142"/>
      <c r="C17" s="145"/>
      <c r="D17" s="181"/>
      <c r="E17" s="182"/>
      <c r="F17" s="182"/>
      <c r="G17" s="182"/>
      <c r="H17" s="182"/>
      <c r="I17" s="183"/>
    </row>
    <row r="18" spans="2:9" x14ac:dyDescent="0.2">
      <c r="B18" s="139" t="s">
        <v>169</v>
      </c>
      <c r="C18" s="146"/>
      <c r="D18" s="181"/>
      <c r="E18" s="182"/>
      <c r="F18" s="182"/>
      <c r="G18" s="182"/>
      <c r="H18" s="182"/>
      <c r="I18" s="183"/>
    </row>
    <row r="19" spans="2:9" x14ac:dyDescent="0.2">
      <c r="B19" s="140" t="s">
        <v>215</v>
      </c>
      <c r="C19" s="141">
        <f>NPV('Headline Inputs '!F11,D11:H11)+'Business Case Evaluation'!C11</f>
        <v>12219500.875</v>
      </c>
      <c r="D19" s="181"/>
      <c r="E19" s="182"/>
      <c r="F19" s="182"/>
      <c r="G19" s="182"/>
      <c r="H19" s="182"/>
      <c r="I19" s="183"/>
    </row>
    <row r="20" spans="2:9" x14ac:dyDescent="0.2">
      <c r="B20" s="140" t="s">
        <v>56</v>
      </c>
      <c r="C20" s="147">
        <f>PV('Headline Inputs '!F11,5,D11)/C11</f>
        <v>6.3128264673913046</v>
      </c>
      <c r="D20" s="181"/>
      <c r="E20" s="182"/>
      <c r="F20" s="182"/>
      <c r="G20" s="182"/>
      <c r="H20" s="182"/>
      <c r="I20" s="183"/>
    </row>
    <row r="21" spans="2:9" x14ac:dyDescent="0.2">
      <c r="B21" s="140" t="s">
        <v>216</v>
      </c>
      <c r="C21" s="144">
        <f>-IF(C11-D11&lt;0,C11/D11,(IF((C11-D11-E11)&lt;0,(1+((C11-D11)/E11)),(IF((C11-D11-E11-F11)&lt;0,(2+((C11-D11-E11)/F11)),(IF((C11-D11-E11-F11-G11)&lt;0,(3+((C11-D11-E11-F11)/G11)),(IF((C11-D11-E11-F11-G11-H11)&lt;0,(4+((C11-D11-E11-F11-G11/H11))))))))))))</f>
        <v>0.79203824559843905</v>
      </c>
      <c r="D21" s="184"/>
      <c r="E21" s="185"/>
      <c r="F21" s="185"/>
      <c r="G21" s="185"/>
      <c r="H21" s="185"/>
      <c r="I21" s="186"/>
    </row>
    <row r="22" spans="2:9" x14ac:dyDescent="0.2">
      <c r="F22" s="125"/>
      <c r="G22" s="125"/>
      <c r="H22" s="125"/>
    </row>
    <row r="26" spans="2:9" ht="29.25" customHeight="1" x14ac:dyDescent="0.2"/>
  </sheetData>
  <sheetProtection algorithmName="SHA-512" hashValue="3X8g86GoHEnS27LMK6ORuyCEcLhI/ulG7WgUh1wp7OylGhIpLWwkAAkl8FucIpPW2kZyIvNnpESXtjfxL0442g==" saltValue="9RFBI7ov82UALkCX0IVdqg==" spinCount="100000" sheet="1" objects="1" scenarios="1" selectLockedCells="1" selectUnlockedCells="1"/>
  <mergeCells count="2">
    <mergeCell ref="C7:I7"/>
    <mergeCell ref="D13:I21"/>
  </mergeCells>
  <pageMargins left="0.25" right="0.25" top="1" bottom="1" header="0.5" footer="0.5"/>
  <pageSetup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 Switch Project</vt:lpstr>
      <vt:lpstr>Read Me - Purpose + Disclaimer</vt:lpstr>
      <vt:lpstr>Read Me - Model Details</vt:lpstr>
      <vt:lpstr>Headline Inputs </vt:lpstr>
      <vt:lpstr>Operating Variables</vt:lpstr>
      <vt:lpstr>Cash Flow</vt:lpstr>
      <vt:lpstr>Business Case Evaluation</vt:lpstr>
    </vt:vector>
  </TitlesOfParts>
  <Company>Rochester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Measures Calculator</dc:title>
  <dc:creator>dferna01</dc:creator>
  <cp:lastModifiedBy>Thapelo Tladi</cp:lastModifiedBy>
  <cp:lastPrinted>2019-10-14T08:07:54Z</cp:lastPrinted>
  <dcterms:created xsi:type="dcterms:W3CDTF">2016-08-28T14:57:45Z</dcterms:created>
  <dcterms:modified xsi:type="dcterms:W3CDTF">2019-10-25T09:36:16Z</dcterms:modified>
</cp:coreProperties>
</file>